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R:\Consultancy\HC00001 - Projects\HC0057 - Xodus project Pentland\Pentland variation\deliverables\"/>
    </mc:Choice>
  </mc:AlternateContent>
  <xr:revisionPtr revIDLastSave="0" documentId="13_ncr:1_{BE851148-B547-4F9A-8823-8B7EC51729E7}" xr6:coauthVersionLast="47" xr6:coauthVersionMax="47" xr10:uidLastSave="{00000000-0000-0000-0000-000000000000}"/>
  <bookViews>
    <workbookView xWindow="-28920" yWindow="-120" windowWidth="29040" windowHeight="17640" tabRatio="686" activeTab="3" xr2:uid="{9F6F4C68-7BBA-4710-AB10-B1EBFAF8EFAC}"/>
  </bookViews>
  <sheets>
    <sheet name="Kittiwake PVA inputs" sheetId="1" r:id="rId1"/>
    <sheet name="Puffin PVA inputs" sheetId="4" r:id="rId2"/>
    <sheet name="SeabORD outputs" sheetId="2" r:id="rId3"/>
    <sheet name="CRM -Pentland, Moray Firth &amp; BB" sheetId="5" r:id="rId4"/>
    <sheet name="CRM -North Sea Compilation" sheetId="3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7" i="3" l="1"/>
  <c r="F47" i="3"/>
  <c r="G47" i="3"/>
  <c r="H47" i="3"/>
  <c r="I47" i="3"/>
  <c r="J47" i="3"/>
  <c r="K47" i="3"/>
  <c r="D47" i="3"/>
  <c r="E51" i="3"/>
  <c r="F51" i="3"/>
  <c r="G51" i="3"/>
  <c r="H51" i="3"/>
  <c r="I51" i="3"/>
  <c r="J51" i="3"/>
  <c r="K51" i="3"/>
  <c r="D51" i="3"/>
  <c r="G66" i="5"/>
  <c r="D66" i="5"/>
  <c r="D45" i="3"/>
  <c r="D46" i="3" s="1"/>
  <c r="D52" i="5"/>
  <c r="F53" i="1"/>
  <c r="N26" i="5"/>
  <c r="L26" i="5"/>
  <c r="H26" i="5"/>
  <c r="D26" i="5"/>
  <c r="H18" i="5"/>
  <c r="D12" i="5"/>
  <c r="D54" i="4"/>
  <c r="D24" i="2"/>
  <c r="D23" i="2"/>
  <c r="D18" i="5"/>
  <c r="J26" i="5"/>
  <c r="F121" i="1"/>
  <c r="K49" i="3"/>
  <c r="K50" i="3" s="1"/>
  <c r="J49" i="3"/>
  <c r="J50" i="3" s="1"/>
  <c r="I49" i="3"/>
  <c r="I50" i="3" s="1"/>
  <c r="H49" i="3"/>
  <c r="H50" i="3" s="1"/>
  <c r="H52" i="3" s="1"/>
  <c r="G49" i="3"/>
  <c r="G50" i="3" s="1"/>
  <c r="F49" i="3"/>
  <c r="F50" i="3" s="1"/>
  <c r="F52" i="3" s="1"/>
  <c r="E49" i="3"/>
  <c r="E50" i="3" s="1"/>
  <c r="D49" i="3"/>
  <c r="D50" i="3" s="1"/>
  <c r="H46" i="3"/>
  <c r="H48" i="3" s="1"/>
  <c r="K45" i="3"/>
  <c r="K46" i="3" s="1"/>
  <c r="J45" i="3"/>
  <c r="J46" i="3" s="1"/>
  <c r="I45" i="3"/>
  <c r="I46" i="3" s="1"/>
  <c r="H45" i="3"/>
  <c r="G45" i="3"/>
  <c r="G46" i="3" s="1"/>
  <c r="F45" i="3"/>
  <c r="F46" i="3" s="1"/>
  <c r="F48" i="3" s="1"/>
  <c r="E45" i="3"/>
  <c r="E46" i="3" s="1"/>
  <c r="H54" i="3" l="1"/>
  <c r="H56" i="3" s="1"/>
  <c r="H58" i="3" s="1"/>
  <c r="K53" i="3"/>
  <c r="K55" i="3" s="1"/>
  <c r="K57" i="3" s="1"/>
  <c r="E53" i="3"/>
  <c r="E55" i="3" s="1"/>
  <c r="E57" i="3" s="1"/>
  <c r="F54" i="3"/>
  <c r="F56" i="3" s="1"/>
  <c r="F58" i="3" s="1"/>
  <c r="I53" i="3"/>
  <c r="I55" i="3" s="1"/>
  <c r="I57" i="3" s="1"/>
  <c r="J53" i="3"/>
  <c r="J55" i="3" s="1"/>
  <c r="J57" i="3" s="1"/>
  <c r="D52" i="3"/>
  <c r="D48" i="3"/>
  <c r="D54" i="3" s="1"/>
  <c r="D56" i="3" s="1"/>
  <c r="D58" i="3" s="1"/>
  <c r="G52" i="3"/>
  <c r="G48" i="3"/>
  <c r="G54" i="3" s="1"/>
  <c r="G56" i="3" s="1"/>
  <c r="G58" i="3" s="1"/>
  <c r="G53" i="3"/>
  <c r="G55" i="3" s="1"/>
  <c r="G57" i="3" s="1"/>
  <c r="E48" i="3"/>
  <c r="E52" i="3"/>
  <c r="I48" i="3"/>
  <c r="I54" i="3" s="1"/>
  <c r="I56" i="3" s="1"/>
  <c r="I58" i="3" s="1"/>
  <c r="I52" i="3"/>
  <c r="J48" i="3"/>
  <c r="J52" i="3"/>
  <c r="K48" i="3"/>
  <c r="K52" i="3"/>
  <c r="F74" i="1" l="1"/>
  <c r="F69" i="1"/>
  <c r="D69" i="1" s="1"/>
  <c r="K54" i="3"/>
  <c r="K56" i="3" s="1"/>
  <c r="K58" i="3" s="1"/>
  <c r="F90" i="1" s="1"/>
  <c r="F53" i="3"/>
  <c r="F55" i="3" s="1"/>
  <c r="F57" i="3" s="1"/>
  <c r="F81" i="1" s="1"/>
  <c r="F83" i="1"/>
  <c r="F88" i="1"/>
  <c r="D53" i="3"/>
  <c r="D55" i="3" s="1"/>
  <c r="D57" i="3" s="1"/>
  <c r="E54" i="3"/>
  <c r="E56" i="3" s="1"/>
  <c r="E58" i="3" s="1"/>
  <c r="F76" i="1" s="1"/>
  <c r="D76" i="1" s="1"/>
  <c r="J54" i="3"/>
  <c r="J56" i="3" s="1"/>
  <c r="J58" i="3" s="1"/>
  <c r="H53" i="3"/>
  <c r="H55" i="3" s="1"/>
  <c r="H57" i="3" s="1"/>
  <c r="F67" i="1" l="1"/>
  <c r="F95" i="1" s="1"/>
  <c r="D95" i="1" s="1"/>
  <c r="G174" i="1"/>
  <c r="F170" i="1"/>
  <c r="G167" i="1"/>
  <c r="F163" i="1"/>
  <c r="G160" i="1"/>
  <c r="F156" i="1"/>
  <c r="G153" i="1"/>
  <c r="F149" i="1"/>
  <c r="G146" i="1"/>
  <c r="F142" i="1"/>
  <c r="G139" i="1"/>
  <c r="F135" i="1"/>
  <c r="G132" i="1"/>
  <c r="F128" i="1"/>
  <c r="G125" i="1"/>
  <c r="D114" i="1"/>
  <c r="D107" i="1"/>
  <c r="D100" i="1"/>
  <c r="D93" i="1"/>
  <c r="E66" i="5"/>
  <c r="H66" i="5" s="1"/>
  <c r="D67" i="5"/>
  <c r="E67" i="5" s="1"/>
  <c r="H67" i="5" s="1"/>
  <c r="D86" i="1"/>
  <c r="D79" i="1"/>
  <c r="D72" i="1"/>
  <c r="D65" i="1"/>
  <c r="G60" i="1"/>
  <c r="G165" i="1" s="1"/>
  <c r="G58" i="1"/>
  <c r="D58" i="1" s="1"/>
  <c r="G53" i="1"/>
  <c r="D53" i="1" s="1"/>
  <c r="G51" i="1"/>
  <c r="D51" i="1" s="1"/>
  <c r="D53" i="5"/>
  <c r="H53" i="5" s="1"/>
  <c r="A53" i="5"/>
  <c r="B53" i="5"/>
  <c r="C53" i="5"/>
  <c r="A54" i="5"/>
  <c r="B54" i="5"/>
  <c r="C54" i="5"/>
  <c r="B52" i="5"/>
  <c r="C52" i="5"/>
  <c r="A52" i="5"/>
  <c r="M45" i="5"/>
  <c r="N45" i="5"/>
  <c r="O45" i="5"/>
  <c r="L45" i="5"/>
  <c r="H45" i="5"/>
  <c r="I45" i="5"/>
  <c r="J45" i="5"/>
  <c r="K45" i="5"/>
  <c r="G45" i="5"/>
  <c r="E45" i="5"/>
  <c r="F45" i="5"/>
  <c r="D45" i="5"/>
  <c r="M44" i="5"/>
  <c r="N44" i="5"/>
  <c r="O44" i="5"/>
  <c r="L44" i="5"/>
  <c r="H44" i="5"/>
  <c r="I44" i="5"/>
  <c r="J44" i="5"/>
  <c r="K44" i="5"/>
  <c r="G44" i="5"/>
  <c r="E44" i="5"/>
  <c r="F44" i="5"/>
  <c r="D44" i="5"/>
  <c r="O43" i="5"/>
  <c r="M43" i="5"/>
  <c r="N43" i="5"/>
  <c r="L43" i="5"/>
  <c r="H43" i="5"/>
  <c r="I43" i="5"/>
  <c r="J43" i="5"/>
  <c r="K43" i="5"/>
  <c r="G43" i="5"/>
  <c r="E43" i="5"/>
  <c r="F43" i="5"/>
  <c r="D43" i="5"/>
  <c r="B43" i="5"/>
  <c r="C43" i="5"/>
  <c r="B44" i="5"/>
  <c r="C44" i="5"/>
  <c r="B45" i="5"/>
  <c r="C45" i="5"/>
  <c r="A44" i="5"/>
  <c r="A45" i="5"/>
  <c r="A43" i="5"/>
  <c r="T9" i="5"/>
  <c r="U9" i="5" s="1"/>
  <c r="O13" i="5"/>
  <c r="O19" i="5" s="1"/>
  <c r="N13" i="5"/>
  <c r="N19" i="5" s="1"/>
  <c r="M13" i="5"/>
  <c r="M19" i="5" s="1"/>
  <c r="L13" i="5"/>
  <c r="L19" i="5" s="1"/>
  <c r="K13" i="5"/>
  <c r="K19" i="5" s="1"/>
  <c r="J13" i="5"/>
  <c r="J19" i="5" s="1"/>
  <c r="I13" i="5"/>
  <c r="I19" i="5" s="1"/>
  <c r="H13" i="5"/>
  <c r="H19" i="5" s="1"/>
  <c r="G13" i="5"/>
  <c r="G19" i="5" s="1"/>
  <c r="F13" i="5"/>
  <c r="F19" i="5" s="1"/>
  <c r="E13" i="5"/>
  <c r="E19" i="5" s="1"/>
  <c r="D13" i="5"/>
  <c r="D19" i="5" s="1"/>
  <c r="O12" i="5"/>
  <c r="O18" i="5" s="1"/>
  <c r="N12" i="5"/>
  <c r="N18" i="5" s="1"/>
  <c r="M12" i="5"/>
  <c r="M18" i="5" s="1"/>
  <c r="L12" i="5"/>
  <c r="L18" i="5" s="1"/>
  <c r="K12" i="5"/>
  <c r="K18" i="5" s="1"/>
  <c r="J12" i="5"/>
  <c r="J18" i="5" s="1"/>
  <c r="I12" i="5"/>
  <c r="I18" i="5" s="1"/>
  <c r="H12" i="5"/>
  <c r="G12" i="5"/>
  <c r="G18" i="5" s="1"/>
  <c r="F12" i="5"/>
  <c r="F18" i="5" s="1"/>
  <c r="E12" i="5"/>
  <c r="E18" i="5" s="1"/>
  <c r="V5" i="5"/>
  <c r="T5" i="5"/>
  <c r="U5" i="5" s="1"/>
  <c r="D71" i="4"/>
  <c r="D70" i="4"/>
  <c r="D69" i="4"/>
  <c r="D68" i="4"/>
  <c r="D64" i="4"/>
  <c r="D63" i="4"/>
  <c r="D62" i="4"/>
  <c r="D61" i="4"/>
  <c r="D57" i="4"/>
  <c r="D56" i="4"/>
  <c r="D55" i="4"/>
  <c r="N24" i="2"/>
  <c r="L24" i="2"/>
  <c r="J24" i="2"/>
  <c r="H24" i="2"/>
  <c r="F24" i="2"/>
  <c r="N23" i="2"/>
  <c r="L23" i="2"/>
  <c r="J23" i="2"/>
  <c r="H23" i="2"/>
  <c r="F23" i="2"/>
  <c r="N12" i="2"/>
  <c r="L12" i="2"/>
  <c r="N11" i="2"/>
  <c r="L11" i="2"/>
  <c r="E53" i="5" l="1"/>
  <c r="G170" i="1"/>
  <c r="D170" i="1" s="1"/>
  <c r="G142" i="1"/>
  <c r="D142" i="1" s="1"/>
  <c r="G172" i="1"/>
  <c r="G123" i="1"/>
  <c r="G149" i="1"/>
  <c r="D149" i="1" s="1"/>
  <c r="G151" i="1"/>
  <c r="G128" i="1"/>
  <c r="D128" i="1" s="1"/>
  <c r="G130" i="1"/>
  <c r="G156" i="1"/>
  <c r="D156" i="1" s="1"/>
  <c r="G121" i="1"/>
  <c r="D121" i="1" s="1"/>
  <c r="G158" i="1"/>
  <c r="G135" i="1"/>
  <c r="D135" i="1" s="1"/>
  <c r="G137" i="1"/>
  <c r="G163" i="1"/>
  <c r="D163" i="1" s="1"/>
  <c r="G144" i="1"/>
  <c r="H52" i="5"/>
  <c r="D54" i="5"/>
  <c r="H54" i="5" s="1"/>
  <c r="G52" i="5"/>
  <c r="E54" i="5"/>
  <c r="E52" i="5"/>
  <c r="G54" i="5"/>
  <c r="G67" i="5"/>
  <c r="G53" i="5"/>
  <c r="I53" i="5"/>
  <c r="F52" i="5"/>
  <c r="J52" i="5" s="1"/>
  <c r="L52" i="5" s="1"/>
  <c r="F54" i="5"/>
  <c r="K54" i="5" s="1"/>
  <c r="F53" i="5"/>
  <c r="I54" i="5"/>
  <c r="G27" i="5"/>
  <c r="G26" i="5"/>
  <c r="F26" i="5"/>
  <c r="D27" i="5"/>
  <c r="H27" i="5" s="1"/>
  <c r="E26" i="5"/>
  <c r="E27" i="5"/>
  <c r="F27" i="5"/>
  <c r="N52" i="5" l="1"/>
  <c r="M54" i="5"/>
  <c r="O54" i="5" s="1"/>
  <c r="J53" i="5"/>
  <c r="L53" i="5" s="1"/>
  <c r="N53" i="5" s="1"/>
  <c r="K53" i="5"/>
  <c r="M53" i="5" s="1"/>
  <c r="O53" i="5" s="1"/>
  <c r="J54" i="5"/>
  <c r="L54" i="5" s="1"/>
  <c r="N54" i="5" s="1"/>
  <c r="K52" i="5"/>
  <c r="I52" i="5"/>
  <c r="I27" i="5"/>
  <c r="K26" i="5"/>
  <c r="I26" i="5"/>
  <c r="K27" i="5"/>
  <c r="M27" i="5" s="1"/>
  <c r="O27" i="5" s="1"/>
  <c r="J27" i="5"/>
  <c r="L27" i="5" s="1"/>
  <c r="N27" i="5" s="1"/>
  <c r="L55" i="5" l="1"/>
  <c r="N55" i="5"/>
  <c r="F60" i="1" s="1"/>
  <c r="D60" i="1" s="1"/>
  <c r="M52" i="5"/>
  <c r="M26" i="5"/>
  <c r="O26" i="5" s="1"/>
  <c r="F55" i="1" s="1"/>
  <c r="D55" i="1" s="1"/>
  <c r="F123" i="1" l="1"/>
  <c r="O52" i="5"/>
  <c r="O55" i="5" s="1"/>
  <c r="F62" i="1" s="1"/>
  <c r="D62" i="1" s="1"/>
  <c r="M55" i="5"/>
  <c r="J12" i="2" l="1"/>
  <c r="H12" i="2"/>
  <c r="J11" i="2"/>
  <c r="H11" i="2"/>
  <c r="F12" i="2"/>
  <c r="F11" i="2"/>
  <c r="D12" i="2"/>
  <c r="D11" i="2"/>
  <c r="F130" i="1" l="1"/>
  <c r="D130" i="1" s="1"/>
  <c r="D74" i="1"/>
  <c r="F102" i="1"/>
  <c r="F132" i="1"/>
  <c r="D132" i="1" s="1"/>
  <c r="F104" i="1"/>
  <c r="D83" i="1"/>
  <c r="F111" i="1"/>
  <c r="F139" i="1"/>
  <c r="D139" i="1" s="1"/>
  <c r="D81" i="1"/>
  <c r="F137" i="1"/>
  <c r="D137" i="1" s="1"/>
  <c r="F109" i="1"/>
  <c r="F125" i="1"/>
  <c r="D125" i="1" s="1"/>
  <c r="F97" i="1"/>
  <c r="D67" i="1"/>
  <c r="D123" i="1"/>
  <c r="F144" i="1"/>
  <c r="D144" i="1" s="1"/>
  <c r="D88" i="1"/>
  <c r="F116" i="1"/>
  <c r="F172" i="1" s="1"/>
  <c r="F146" i="1"/>
  <c r="D146" i="1" s="1"/>
  <c r="F118" i="1"/>
  <c r="F174" i="1" s="1"/>
  <c r="D90" i="1"/>
  <c r="D109" i="1" l="1"/>
  <c r="F165" i="1"/>
  <c r="D165" i="1" s="1"/>
  <c r="D104" i="1"/>
  <c r="F160" i="1"/>
  <c r="D160" i="1" s="1"/>
  <c r="F167" i="1"/>
  <c r="D167" i="1" s="1"/>
  <c r="D111" i="1"/>
  <c r="D174" i="1"/>
  <c r="D118" i="1"/>
  <c r="D116" i="1"/>
  <c r="D172" i="1"/>
  <c r="F151" i="1"/>
  <c r="D151" i="1" s="1"/>
  <c r="D102" i="1"/>
  <c r="F158" i="1"/>
  <c r="D158" i="1" s="1"/>
  <c r="D97" i="1"/>
  <c r="F153" i="1"/>
  <c r="D153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tc={4126C073-27D4-4AC2-A2A0-C7B7A712242C}</author>
  </authors>
  <commentList>
    <comment ref="D2" authorId="0" shapeId="0" xr:uid="{4126C073-27D4-4AC2-A2A0-C7B7A712242C}">
      <text>
        <t>[Threaded comment]
Your version of Excel allows you to read this threaded comment; however, any edits to it will get removed if the file is opened in a newer version of Excel. Learn more: https://go.microsoft.com/fwlink/?linkid=870924
Comment:
    Impacts were split over three runs of the PVA tool</t>
      </text>
    </comment>
  </commentList>
</comments>
</file>

<file path=xl/sharedStrings.xml><?xml version="1.0" encoding="utf-8"?>
<sst xmlns="http://schemas.openxmlformats.org/spreadsheetml/2006/main" count="823" uniqueCount="302">
  <si>
    <t>1. Basic PVA Information</t>
  </si>
  <si>
    <t>PVA run details</t>
  </si>
  <si>
    <t>Simulation</t>
  </si>
  <si>
    <t>Basic information about the form of PVA</t>
  </si>
  <si>
    <t>Beta/Gamma</t>
  </si>
  <si>
    <t>No density dependence</t>
  </si>
  <si>
    <t>Yes</t>
  </si>
  <si>
    <t>Random seed</t>
  </si>
  <si>
    <t>Years for burn-in</t>
  </si>
  <si>
    <t>Case studies</t>
  </si>
  <si>
    <t>None</t>
  </si>
  <si>
    <t>Reference name</t>
  </si>
  <si>
    <t>Species-specific values</t>
  </si>
  <si>
    <t>Species</t>
  </si>
  <si>
    <t>Black-Legged Kittiwake</t>
  </si>
  <si>
    <t>Global</t>
  </si>
  <si>
    <t>National</t>
  </si>
  <si>
    <t>Sector to use within breeding success region</t>
  </si>
  <si>
    <t>Age at first breeding</t>
  </si>
  <si>
    <t>4 years</t>
  </si>
  <si>
    <t>Productivity parameters</t>
  </si>
  <si>
    <t>Options for subpopulations</t>
  </si>
  <si>
    <t>NA</t>
  </si>
  <si>
    <t>Breeding adults</t>
  </si>
  <si>
    <t>Options for immatures</t>
  </si>
  <si>
    <t>Baseline dem rates 1</t>
  </si>
  <si>
    <t>BLANK</t>
  </si>
  <si>
    <t>2. Baseline demographic rates</t>
  </si>
  <si>
    <t>Scenarios</t>
  </si>
  <si>
    <t>Options</t>
  </si>
  <si>
    <t>No</t>
  </si>
  <si>
    <t>Form of impact</t>
  </si>
  <si>
    <t>Relative</t>
  </si>
  <si>
    <t>Years in which impacts begin and end</t>
  </si>
  <si>
    <t>Begin</t>
  </si>
  <si>
    <t>End</t>
  </si>
  <si>
    <t>3. Impacts</t>
  </si>
  <si>
    <t>PVA tool tabs</t>
  </si>
  <si>
    <t>Input</t>
  </si>
  <si>
    <t>Input box name</t>
  </si>
  <si>
    <t>Input name</t>
  </si>
  <si>
    <t xml:space="preserve">Scenario 1 - PFOWF project-alone with 10% sabbatical </t>
  </si>
  <si>
    <t>Scenario name</t>
  </si>
  <si>
    <t>Scenario 2 - PFOWF and Moray Firth together, with 10% sabbatical rate</t>
  </si>
  <si>
    <t>Scenario 3a - Other North Sea wind farms (from Hornsea 4 – EA 1 &amp; 2)</t>
  </si>
  <si>
    <t>3a</t>
  </si>
  <si>
    <t>Scenario 3b - Other North Sea wind farms (from Inch Cape - consented)</t>
  </si>
  <si>
    <t>3b</t>
  </si>
  <si>
    <t>Scenario 3c - Other North Sea wind farms (from Inch Cape - built)</t>
  </si>
  <si>
    <t>3c</t>
  </si>
  <si>
    <t>Scenario 3d - Other North Sea wind farms (from Inch Cape – season-adjusted)</t>
  </si>
  <si>
    <t>3d</t>
  </si>
  <si>
    <t>Scenario 4a - 3a plus Berwick Bank collision risk only</t>
  </si>
  <si>
    <t>4a</t>
  </si>
  <si>
    <t>Scenario 4b - 3b plus Berwick Bank collision risk only</t>
  </si>
  <si>
    <t>4b</t>
  </si>
  <si>
    <t>Scenario 4c - 3c plus Berwick Bank collision risk only</t>
  </si>
  <si>
    <t>4c</t>
  </si>
  <si>
    <t>Scenario 4d - 3d plus Berwick Bank collision risk only</t>
  </si>
  <si>
    <t>4d</t>
  </si>
  <si>
    <t>5a</t>
  </si>
  <si>
    <t>5b</t>
  </si>
  <si>
    <t>5c</t>
  </si>
  <si>
    <t>5d</t>
  </si>
  <si>
    <t>6a</t>
  </si>
  <si>
    <t>6b</t>
  </si>
  <si>
    <t>6c</t>
  </si>
  <si>
    <t>6d</t>
  </si>
  <si>
    <t>Output: Years</t>
  </si>
  <si>
    <t>First year to include in outputs</t>
  </si>
  <si>
    <t>Final year to include in outputs</t>
  </si>
  <si>
    <t>Output: Target pop size</t>
  </si>
  <si>
    <t>Units for output</t>
  </si>
  <si>
    <t>All ages separately</t>
  </si>
  <si>
    <t>Summary of Parameters</t>
  </si>
  <si>
    <t>Completed parameters</t>
  </si>
  <si>
    <t>4. Run</t>
  </si>
  <si>
    <t>Site</t>
  </si>
  <si>
    <t>Population</t>
  </si>
  <si>
    <t>SD</t>
  </si>
  <si>
    <t>Dunnet</t>
  </si>
  <si>
    <t>Duncansby</t>
  </si>
  <si>
    <t>Melvich</t>
  </si>
  <si>
    <t>Stroma</t>
  </si>
  <si>
    <t>Holburn</t>
  </si>
  <si>
    <t>Weighted mean</t>
  </si>
  <si>
    <t>Weighted SD</t>
  </si>
  <si>
    <t>Offshore wind farm project</t>
  </si>
  <si>
    <t>Planning stage / date consented</t>
  </si>
  <si>
    <t>Autumn migration</t>
  </si>
  <si>
    <t>Spring migration</t>
  </si>
  <si>
    <t>Hornsea 4</t>
  </si>
  <si>
    <t>ICOL</t>
  </si>
  <si>
    <t>EA 1 &amp; 2</t>
  </si>
  <si>
    <t>consented</t>
  </si>
  <si>
    <t>built</t>
  </si>
  <si>
    <t>Blyth Demonstration (Phase 1)</t>
  </si>
  <si>
    <r>
      <t xml:space="preserve">Dogger Bank A &amp; B </t>
    </r>
    <r>
      <rPr>
        <i/>
        <sz val="10"/>
        <color rgb="FF000000"/>
        <rFont val="Gill Sans MT"/>
        <family val="2"/>
      </rPr>
      <t>(formerly Creyke Beck)</t>
    </r>
  </si>
  <si>
    <r>
      <t xml:space="preserve">Dogger Bank C </t>
    </r>
    <r>
      <rPr>
        <i/>
        <sz val="10"/>
        <color rgb="FF000000"/>
        <rFont val="Gill Sans MT"/>
        <family val="2"/>
      </rPr>
      <t>(formerly</t>
    </r>
    <r>
      <rPr>
        <sz val="10"/>
        <color rgb="FF000000"/>
        <rFont val="Gill Sans MT"/>
        <family val="2"/>
      </rPr>
      <t xml:space="preserve"> </t>
    </r>
    <r>
      <rPr>
        <i/>
        <sz val="10"/>
        <color rgb="FF000000"/>
        <rFont val="Gill Sans MT"/>
        <family val="2"/>
      </rPr>
      <t>Teesside A</t>
    </r>
    <r>
      <rPr>
        <sz val="10"/>
        <color rgb="FF000000"/>
        <rFont val="Gill Sans MT"/>
        <family val="2"/>
      </rPr>
      <t xml:space="preserve">) </t>
    </r>
  </si>
  <si>
    <t xml:space="preserve">Dudgeon </t>
  </si>
  <si>
    <t>-</t>
  </si>
  <si>
    <t xml:space="preserve">Dudgeon Extension </t>
  </si>
  <si>
    <t>application</t>
  </si>
  <si>
    <t>East Anglia ONE</t>
  </si>
  <si>
    <t>East Anglia ONE North</t>
  </si>
  <si>
    <t>East Anglia TWO</t>
  </si>
  <si>
    <t>East Anglia THREE</t>
  </si>
  <si>
    <t>EOWDC (Aberdeen Bay)</t>
  </si>
  <si>
    <t>Forthwind Demo</t>
  </si>
  <si>
    <t>Galloper</t>
  </si>
  <si>
    <t>Greater Gabbard</t>
  </si>
  <si>
    <t>Gunfleet Sands (1 and 2)</t>
  </si>
  <si>
    <t>Hornsea One</t>
  </si>
  <si>
    <t>Hornsea Two</t>
  </si>
  <si>
    <t>Hornsea Three</t>
  </si>
  <si>
    <t xml:space="preserve">Hornsea Four </t>
  </si>
  <si>
    <t xml:space="preserve">Humber Gateway </t>
  </si>
  <si>
    <t>Hywind Scotland</t>
  </si>
  <si>
    <t xml:space="preserve">Inch Cape </t>
  </si>
  <si>
    <t>Kentish Flats 1</t>
  </si>
  <si>
    <t>Kentish Flats 2</t>
  </si>
  <si>
    <t xml:space="preserve">Kincardine </t>
  </si>
  <si>
    <t xml:space="preserve">Lincs, Lynn &amp; Inner Dowsing </t>
  </si>
  <si>
    <t>London Array</t>
  </si>
  <si>
    <t xml:space="preserve">Methil Demo </t>
  </si>
  <si>
    <t xml:space="preserve">Neart na Gaoithe </t>
  </si>
  <si>
    <t xml:space="preserve">Norfolk Boreas </t>
  </si>
  <si>
    <t>Norfolk Vanguard</t>
  </si>
  <si>
    <t xml:space="preserve">Race Bank </t>
  </si>
  <si>
    <t xml:space="preserve">Rampion </t>
  </si>
  <si>
    <t xml:space="preserve">Scroby Sands </t>
  </si>
  <si>
    <t>Seagreen</t>
  </si>
  <si>
    <t xml:space="preserve">Sheringham Shoal </t>
  </si>
  <si>
    <t>Sheringham Shoal Extension</t>
  </si>
  <si>
    <t>Teesside</t>
  </si>
  <si>
    <t xml:space="preserve">Thanet </t>
  </si>
  <si>
    <t xml:space="preserve">Triton Knoll </t>
  </si>
  <si>
    <t xml:space="preserve">Westermost Rough </t>
  </si>
  <si>
    <t>immatures</t>
  </si>
  <si>
    <t>Pentland only - chicks</t>
  </si>
  <si>
    <t>Pentland only - adults</t>
  </si>
  <si>
    <t>Moray Firth - chicks</t>
  </si>
  <si>
    <t>Moray Firth - adults</t>
  </si>
  <si>
    <t>Add. mortality (%)</t>
  </si>
  <si>
    <t>All wind farms - chicks</t>
  </si>
  <si>
    <t>All wind farms - adults</t>
  </si>
  <si>
    <t>Kittiwake</t>
  </si>
  <si>
    <t>Puffin</t>
  </si>
  <si>
    <t>Puffin Scenarios 1-3</t>
  </si>
  <si>
    <t>Atlantic Puffin</t>
  </si>
  <si>
    <t>5 years</t>
  </si>
  <si>
    <t>Scenario 1 - Pentland project alone seaBORD</t>
  </si>
  <si>
    <t>Scenario 2 - Moray Firth wind farms (Beatrice, Moray East and Moray West) seaBORD</t>
  </si>
  <si>
    <t>Scenario 3 - Pentland and Moray Firth windfarms together (cumulatively) seaBORD</t>
  </si>
  <si>
    <t>OWF</t>
  </si>
  <si>
    <t>species</t>
  </si>
  <si>
    <t>turbines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</si>
  <si>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</si>
  <si>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</si>
  <si>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</si>
  <si>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</si>
  <si>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</si>
  <si>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</si>
  <si>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</si>
  <si>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</si>
  <si>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</si>
  <si>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</si>
  <si>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</si>
  <si>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</si>
  <si>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Pentland</t>
  </si>
  <si>
    <t>adults</t>
  </si>
  <si>
    <t>prop adults</t>
  </si>
  <si>
    <t>total pop</t>
  </si>
  <si>
    <t>prop imm</t>
  </si>
  <si>
    <t>Breeding season survey-derived age structure</t>
  </si>
  <si>
    <t>Total</t>
  </si>
  <si>
    <t>6x17MW</t>
  </si>
  <si>
    <t>Spring</t>
  </si>
  <si>
    <t>Breeding</t>
  </si>
  <si>
    <t>Autumn</t>
  </si>
  <si>
    <t>Absolute totals</t>
  </si>
  <si>
    <t>For PVA - absolute, split by immature and adult</t>
  </si>
  <si>
    <t>Adult</t>
  </si>
  <si>
    <t>1x14MW</t>
  </si>
  <si>
    <t>5x17MW</t>
  </si>
  <si>
    <t>Weightings</t>
  </si>
  <si>
    <t>Breeding season</t>
  </si>
  <si>
    <t>Immature</t>
  </si>
  <si>
    <t>Non-breeding season</t>
  </si>
  <si>
    <t>1x14MW &amp; 5x17MW</t>
  </si>
  <si>
    <t>Kittiwake Pentland</t>
  </si>
  <si>
    <t>Age prop calculations based on stable age structure (after 10 year burn in)</t>
  </si>
  <si>
    <t>Kittiwake Moray Firth</t>
  </si>
  <si>
    <t>BeatriceAsBuilt</t>
  </si>
  <si>
    <t>MorayEastAsBuilt</t>
  </si>
  <si>
    <t>MorayWestAsBuilt</t>
  </si>
  <si>
    <t>Beatrice</t>
  </si>
  <si>
    <t>Moray East</t>
  </si>
  <si>
    <t>Moray West</t>
  </si>
  <si>
    <t>CRM</t>
  </si>
  <si>
    <t>Rate</t>
  </si>
  <si>
    <t>Rate- with 10% adult sab</t>
  </si>
  <si>
    <t>SeabORD</t>
  </si>
  <si>
    <t>Immatures</t>
  </si>
  <si>
    <t>Berwick Bank</t>
  </si>
  <si>
    <t>Age</t>
  </si>
  <si>
    <t>Avoidance</t>
  </si>
  <si>
    <t>pop @ 2016</t>
  </si>
  <si>
    <t>CRM &amp; Disp.</t>
  </si>
  <si>
    <t>CRM rate</t>
  </si>
  <si>
    <t>CRM  &amp; Disp. rate</t>
  </si>
  <si>
    <t>Take the totals from other tabs</t>
  </si>
  <si>
    <t>Kittiwake Scenarios</t>
  </si>
  <si>
    <t>ICOL season-adjusted</t>
  </si>
  <si>
    <t>English totals at an 0.989 avoidance rate</t>
  </si>
  <si>
    <t>English totals at an 0.992 avoidance rate</t>
  </si>
  <si>
    <t>English immatures at 0.992 avoidance rate</t>
  </si>
  <si>
    <t>Scottish totals at an 0.989 avoidance rate</t>
  </si>
  <si>
    <t>Scottish totals at an 0.992 avoidance rate</t>
  </si>
  <si>
    <t>Scottish immatures at 0.992 avoidance rate</t>
  </si>
  <si>
    <t>Total adults</t>
  </si>
  <si>
    <t>Total immatures</t>
  </si>
  <si>
    <t>Total adults as apportioned to NCC (autumn @ 0.023, spring @ 0.028)</t>
  </si>
  <si>
    <t>Total immatures as apportioned to NCC (autumn @ 0.023, spring @ 0.028)</t>
  </si>
  <si>
    <t>Total adults rate</t>
  </si>
  <si>
    <t>Total immature rate</t>
  </si>
  <si>
    <t>Scenario 5d - Scenarios 2 and 3d together</t>
  </si>
  <si>
    <t>Scenario 5c - Scenarios 2 and 3c together</t>
  </si>
  <si>
    <t>Scenario 5b - Scenarios 2 and 3b together</t>
  </si>
  <si>
    <t>Scenario 5a - Scenarios 2 and 3a together</t>
  </si>
  <si>
    <t>Scenario 6a - Scenarios 2 and 4a together</t>
  </si>
  <si>
    <t>Scenario 6b - Scenarios 2 and 4b together</t>
  </si>
  <si>
    <t>Scenario 6c - Scenarios 2 and 4c together</t>
  </si>
  <si>
    <t>Scenario 6d - Scenarios 2 and 4d together</t>
  </si>
  <si>
    <t>Summarised outputs from SeabORD:</t>
  </si>
  <si>
    <t>The following Berwick Bank CRM and Disp. Estimates (in grey) for NCC non-breeding season were obtained from email correspondance</t>
  </si>
  <si>
    <t>1. CRM outputs</t>
  </si>
  <si>
    <t>2. Combine the 14MW and 17MW turbine scenarios</t>
  </si>
  <si>
    <t>3. Apply weightings</t>
  </si>
  <si>
    <t>4. Split to breeding and non-breeding, calculate rate of mortality</t>
  </si>
  <si>
    <t>2. Apply weightings</t>
  </si>
  <si>
    <t>3. Split to breeding and non-breeding, calculate rate of mortality</t>
  </si>
  <si>
    <t>Season</t>
  </si>
  <si>
    <t>Choose type:</t>
  </si>
  <si>
    <t>Choose model for density dependence:</t>
  </si>
  <si>
    <t>Model to use for environmental stochasticity:</t>
  </si>
  <si>
    <t>Include demographic stochasticity in model?</t>
  </si>
  <si>
    <t>Number of simulations</t>
  </si>
  <si>
    <t>Select a case study</t>
  </si>
  <si>
    <t>Region type to use for breeding success data</t>
  </si>
  <si>
    <t>Available colony-specific survival rate</t>
  </si>
  <si>
    <t>Age at first breeding (years)</t>
  </si>
  <si>
    <t>Is there an upper constraint on productivity in the model?</t>
  </si>
  <si>
    <t>Maximum brood size per pair (chicks) will be constrained to be no greater than:</t>
  </si>
  <si>
    <t>Number of subpopulations</t>
  </si>
  <si>
    <t>Are demographic rates applied separately to each subpopulation?</t>
  </si>
  <si>
    <t>Units for initial population size</t>
  </si>
  <si>
    <t>Choose:</t>
  </si>
  <si>
    <t>Are baseline demographic rates specified separately for immatures?</t>
  </si>
  <si>
    <t>Baseline demographic rates: 1</t>
  </si>
  <si>
    <t>Initial population size - Year</t>
  </si>
  <si>
    <t>Initial population size</t>
  </si>
  <si>
    <t>Productivity rate per pair - Mean</t>
  </si>
  <si>
    <t>Productivity rate per pair - SD</t>
  </si>
  <si>
    <t>Productivity rate per pair - DD effect</t>
  </si>
  <si>
    <t>Adult survival rate -Mean</t>
  </si>
  <si>
    <t>Adult survival rate - SD</t>
  </si>
  <si>
    <t>Adult survival rate - DD effect</t>
  </si>
  <si>
    <t>Immature survival rates(0-1) - Mean</t>
  </si>
  <si>
    <t>Immature survival rates (0-1) - SD</t>
  </si>
  <si>
    <t>Immature survival rates (0-1) - DD effect</t>
  </si>
  <si>
    <t>Immature survival rates (1-2) - Mean</t>
  </si>
  <si>
    <t>Immature survival rates (1-2) - SD</t>
  </si>
  <si>
    <t>Immature survival rates (1-2) - DD effect</t>
  </si>
  <si>
    <t>Immature survival rates (2-3) - Mean</t>
  </si>
  <si>
    <t>Immature survival rates (2-3) - SD</t>
  </si>
  <si>
    <t>Immature survival rates (2-3) - DD effect</t>
  </si>
  <si>
    <t>Immature survival rates (3-4) - Mean</t>
  </si>
  <si>
    <t>Immature survival rates (3-4) - SD</t>
  </si>
  <si>
    <t>Immature survival rates (3-4) - DD effect</t>
  </si>
  <si>
    <t>Number of scenarios of impact</t>
  </si>
  <si>
    <t>Are impacts applied separately to each subpopulation?</t>
  </si>
  <si>
    <t>Are impacts specified separately for immatures?</t>
  </si>
  <si>
    <t>Are standard errors of impacts available?</t>
  </si>
  <si>
    <t>Should random seeds be matched for impact scenarios?</t>
  </si>
  <si>
    <t>Impacts are specified as</t>
  </si>
  <si>
    <t>Impact on productivity rate per pair - Mean</t>
  </si>
  <si>
    <t>Impact on productivity rate per pair - SE</t>
  </si>
  <si>
    <t>Impact on adult survival rate - Mean</t>
  </si>
  <si>
    <t>Impact on adult survival rate - SE</t>
  </si>
  <si>
    <t>Impact on immature survival rate - Mean</t>
  </si>
  <si>
    <t>Impact on immature survival rate - SE</t>
  </si>
  <si>
    <t>Target population size to use in calculating impact metrics</t>
  </si>
  <si>
    <t>Quasi-extinction threshold to use in calculating impact metrics</t>
  </si>
  <si>
    <t>Choose</t>
  </si>
  <si>
    <t>23/23</t>
  </si>
  <si>
    <t>Immature survival rates (4-5) - Mean</t>
  </si>
  <si>
    <t>Immature survival rates (4-5) - SD</t>
  </si>
  <si>
    <t>Immature survival rates (4-5) - DD effect</t>
  </si>
  <si>
    <t>Scottish adults at 0.992 avoidance rate</t>
  </si>
  <si>
    <t>English adults at 0.992 avoidance rate (10% sabbatical applied)</t>
  </si>
  <si>
    <t>10 (then another with 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</si>
</sst>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00000000"/>
    <numFmt numFmtId="165" formatCode="0.00000"/>
    <numFmt numFmtId="166" formatCode="0.0000000000"/>
    <numFmt numFmtId="167" formatCode="#,##0.0"/>
    <numFmt numFmtId="168" formatCode="#,##0.000000000"/>
  </numFmts>
  <fonts count="1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0"/>
      <color rgb="FF000000"/>
      <name val="Gill Sans MT"/>
      <family val="2"/>
    </font>
    <font>
      <sz val="10"/>
      <color theme="1"/>
      <name val="Gill Sans MT"/>
      <family val="2"/>
    </font>
    <font>
      <sz val="10"/>
      <color rgb="FF000000"/>
      <name val="Gill Sans MT"/>
      <family val="2"/>
    </font>
    <font>
      <i/>
      <sz val="10"/>
      <color rgb="FF000000"/>
      <name val="Gill Sans MT"/>
      <family val="2"/>
    </font>
    <font>
      <b/>
      <i/>
      <sz val="10"/>
      <color rgb="FF000000"/>
      <name val="Gill Sans MT"/>
      <family val="2"/>
    </font>
    <font>
      <b/>
      <sz val="11"/>
      <name val="Calibri"/>
      <family val="2"/>
      <scheme val="minor"/>
    </font>
    <font>
      <i/>
      <sz val="10"/>
      <color theme="1"/>
      <name val="Gill Sans MT"/>
      <family val="2"/>
    </font>
    <font>
      <sz val="11"/>
      <color rgb="FF444444"/>
      <name val="Source Sans Pro"/>
      <family val="2"/>
    </font>
  </fonts>
  <fills count="15">
    <fill>
      <patternFill patternType="none"/>
    </fill>
    <fill>
      <patternFill patternType="gray125"/>
    </fill>
    <fill>
      <patternFill patternType="solid">
        <fgColor rgb="FFA6A6A6"/>
        <bgColor indexed="64"/>
      </patternFill>
    </fill>
    <fill>
      <patternFill patternType="solid">
        <fgColor rgb="FFD6E3BC"/>
        <bgColor indexed="64"/>
      </patternFill>
    </fill>
    <fill>
      <patternFill patternType="solid">
        <fgColor rgb="FFC6D9F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CC0D9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4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05">
    <xf numFmtId="0" fontId="0" fillId="0" borderId="0" xfId="0"/>
    <xf numFmtId="0" fontId="0" fillId="0" borderId="8" xfId="0" applyBorder="1"/>
    <xf numFmtId="0" fontId="0" fillId="0" borderId="11" xfId="0" applyBorder="1"/>
    <xf numFmtId="0" fontId="0" fillId="0" borderId="17" xfId="0" applyBorder="1"/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0" fillId="0" borderId="26" xfId="0" applyBorder="1"/>
    <xf numFmtId="0" fontId="0" fillId="0" borderId="24" xfId="0" quotePrefix="1" applyBorder="1"/>
    <xf numFmtId="0" fontId="0" fillId="0" borderId="16" xfId="0" applyBorder="1"/>
    <xf numFmtId="0" fontId="0" fillId="0" borderId="29" xfId="0" applyBorder="1"/>
    <xf numFmtId="0" fontId="3" fillId="0" borderId="22" xfId="0" applyFont="1" applyBorder="1"/>
    <xf numFmtId="164" fontId="0" fillId="0" borderId="24" xfId="0" applyNumberFormat="1" applyBorder="1"/>
    <xf numFmtId="165" fontId="0" fillId="0" borderId="22" xfId="0" applyNumberFormat="1" applyBorder="1"/>
    <xf numFmtId="1" fontId="0" fillId="0" borderId="23" xfId="0" applyNumberFormat="1" applyBorder="1"/>
    <xf numFmtId="165" fontId="0" fillId="0" borderId="23" xfId="0" applyNumberFormat="1" applyBorder="1"/>
    <xf numFmtId="165" fontId="0" fillId="0" borderId="24" xfId="0" applyNumberFormat="1" applyBorder="1"/>
    <xf numFmtId="0" fontId="1" fillId="0" borderId="24" xfId="0" applyFont="1" applyBorder="1"/>
    <xf numFmtId="0" fontId="0" fillId="0" borderId="7" xfId="0" applyBorder="1"/>
    <xf numFmtId="0" fontId="0" fillId="0" borderId="9" xfId="0" applyBorder="1"/>
    <xf numFmtId="0" fontId="0" fillId="0" borderId="10" xfId="0" applyBorder="1"/>
    <xf numFmtId="0" fontId="0" fillId="0" borderId="15" xfId="0" applyBorder="1"/>
    <xf numFmtId="0" fontId="4" fillId="2" borderId="2" xfId="0" applyFont="1" applyFill="1" applyBorder="1" applyAlignment="1">
      <alignment horizontal="justify" vertical="center" wrapText="1"/>
    </xf>
    <xf numFmtId="164" fontId="0" fillId="0" borderId="11" xfId="0" applyNumberFormat="1" applyBorder="1"/>
    <xf numFmtId="0" fontId="0" fillId="0" borderId="39" xfId="0" applyBorder="1"/>
    <xf numFmtId="0" fontId="0" fillId="0" borderId="40" xfId="0" applyBorder="1"/>
    <xf numFmtId="0" fontId="0" fillId="0" borderId="13" xfId="0" applyBorder="1"/>
    <xf numFmtId="0" fontId="0" fillId="0" borderId="2" xfId="0" applyBorder="1"/>
    <xf numFmtId="0" fontId="0" fillId="0" borderId="41" xfId="0" applyBorder="1"/>
    <xf numFmtId="0" fontId="0" fillId="0" borderId="42" xfId="0" applyBorder="1"/>
    <xf numFmtId="0" fontId="0" fillId="0" borderId="43" xfId="0" applyBorder="1"/>
    <xf numFmtId="164" fontId="0" fillId="0" borderId="44" xfId="0" applyNumberFormat="1" applyBorder="1"/>
    <xf numFmtId="0" fontId="0" fillId="0" borderId="14" xfId="0" applyBorder="1"/>
    <xf numFmtId="164" fontId="0" fillId="0" borderId="3" xfId="0" applyNumberFormat="1" applyBorder="1"/>
    <xf numFmtId="0" fontId="2" fillId="0" borderId="0" xfId="0" applyFont="1"/>
    <xf numFmtId="0" fontId="0" fillId="0" borderId="1" xfId="0" applyBorder="1"/>
    <xf numFmtId="0" fontId="0" fillId="0" borderId="10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0" xfId="0" applyAlignment="1">
      <alignment vertical="center"/>
    </xf>
    <xf numFmtId="0" fontId="0" fillId="0" borderId="20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6" xfId="0" applyBorder="1" applyAlignment="1">
      <alignment vertical="center"/>
    </xf>
    <xf numFmtId="0" fontId="0" fillId="0" borderId="28" xfId="0" applyBorder="1" applyAlignment="1">
      <alignment vertical="center"/>
    </xf>
    <xf numFmtId="0" fontId="0" fillId="0" borderId="20" xfId="0" applyBorder="1"/>
    <xf numFmtId="0" fontId="0" fillId="9" borderId="19" xfId="0" applyFill="1" applyBorder="1" applyAlignment="1">
      <alignment horizontal="left" vertical="center"/>
    </xf>
    <xf numFmtId="0" fontId="0" fillId="9" borderId="15" xfId="0" applyFill="1" applyBorder="1" applyAlignment="1">
      <alignment horizontal="left"/>
    </xf>
    <xf numFmtId="0" fontId="0" fillId="9" borderId="27" xfId="0" applyFill="1" applyBorder="1" applyAlignment="1">
      <alignment horizontal="left"/>
    </xf>
    <xf numFmtId="0" fontId="0" fillId="9" borderId="19" xfId="0" applyFill="1" applyBorder="1" applyAlignment="1">
      <alignment horizontal="left"/>
    </xf>
    <xf numFmtId="0" fontId="0" fillId="0" borderId="30" xfId="0" applyBorder="1"/>
    <xf numFmtId="0" fontId="0" fillId="0" borderId="34" xfId="0" applyBorder="1"/>
    <xf numFmtId="0" fontId="0" fillId="0" borderId="5" xfId="0" applyBorder="1"/>
    <xf numFmtId="2" fontId="0" fillId="0" borderId="0" xfId="0" applyNumberFormat="1"/>
    <xf numFmtId="2" fontId="0" fillId="0" borderId="8" xfId="0" applyNumberFormat="1" applyBorder="1"/>
    <xf numFmtId="2" fontId="0" fillId="0" borderId="10" xfId="0" applyNumberFormat="1" applyBorder="1"/>
    <xf numFmtId="2" fontId="0" fillId="0" borderId="11" xfId="0" applyNumberFormat="1" applyBorder="1"/>
    <xf numFmtId="166" fontId="0" fillId="0" borderId="0" xfId="0" applyNumberFormat="1"/>
    <xf numFmtId="2" fontId="2" fillId="0" borderId="7" xfId="0" applyNumberFormat="1" applyFont="1" applyBorder="1"/>
    <xf numFmtId="166" fontId="2" fillId="0" borderId="0" xfId="0" applyNumberFormat="1" applyFont="1"/>
    <xf numFmtId="2" fontId="0" fillId="10" borderId="10" xfId="0" applyNumberFormat="1" applyFill="1" applyBorder="1"/>
    <xf numFmtId="2" fontId="0" fillId="0" borderId="9" xfId="0" applyNumberFormat="1" applyBorder="1"/>
    <xf numFmtId="2" fontId="0" fillId="0" borderId="7" xfId="0" applyNumberFormat="1" applyBorder="1"/>
    <xf numFmtId="0" fontId="0" fillId="11" borderId="15" xfId="0" applyFill="1" applyBorder="1"/>
    <xf numFmtId="0" fontId="0" fillId="11" borderId="16" xfId="0" applyFill="1" applyBorder="1"/>
    <xf numFmtId="0" fontId="0" fillId="11" borderId="17" xfId="0" applyFill="1" applyBorder="1"/>
    <xf numFmtId="0" fontId="0" fillId="11" borderId="6" xfId="0" applyFill="1" applyBorder="1"/>
    <xf numFmtId="0" fontId="2" fillId="0" borderId="7" xfId="0" applyFont="1" applyBorder="1"/>
    <xf numFmtId="0" fontId="2" fillId="11" borderId="15" xfId="0" applyFont="1" applyFill="1" applyBorder="1"/>
    <xf numFmtId="0" fontId="0" fillId="11" borderId="4" xfId="0" applyFill="1" applyBorder="1"/>
    <xf numFmtId="0" fontId="0" fillId="11" borderId="5" xfId="0" applyFill="1" applyBorder="1"/>
    <xf numFmtId="2" fontId="2" fillId="0" borderId="0" xfId="0" applyNumberFormat="1" applyFont="1"/>
    <xf numFmtId="2" fontId="2" fillId="12" borderId="0" xfId="0" applyNumberFormat="1" applyFont="1" applyFill="1"/>
    <xf numFmtId="2" fontId="0" fillId="12" borderId="10" xfId="0" applyNumberFormat="1" applyFill="1" applyBorder="1"/>
    <xf numFmtId="2" fontId="2" fillId="13" borderId="0" xfId="0" applyNumberFormat="1" applyFont="1" applyFill="1"/>
    <xf numFmtId="2" fontId="0" fillId="13" borderId="10" xfId="0" applyNumberFormat="1" applyFill="1" applyBorder="1"/>
    <xf numFmtId="2" fontId="2" fillId="14" borderId="0" xfId="0" applyNumberFormat="1" applyFont="1" applyFill="1"/>
    <xf numFmtId="2" fontId="2" fillId="14" borderId="8" xfId="0" applyNumberFormat="1" applyFont="1" applyFill="1" applyBorder="1"/>
    <xf numFmtId="2" fontId="0" fillId="14" borderId="10" xfId="0" applyNumberFormat="1" applyFill="1" applyBorder="1"/>
    <xf numFmtId="2" fontId="0" fillId="14" borderId="11" xfId="0" applyNumberFormat="1" applyFill="1" applyBorder="1"/>
    <xf numFmtId="1" fontId="0" fillId="0" borderId="9" xfId="0" applyNumberFormat="1" applyBorder="1"/>
    <xf numFmtId="1" fontId="0" fillId="0" borderId="10" xfId="0" applyNumberFormat="1" applyBorder="1"/>
    <xf numFmtId="2" fontId="0" fillId="10" borderId="11" xfId="0" applyNumberFormat="1" applyFill="1" applyBorder="1"/>
    <xf numFmtId="0" fontId="2" fillId="11" borderId="16" xfId="0" applyFont="1" applyFill="1" applyBorder="1"/>
    <xf numFmtId="0" fontId="2" fillId="11" borderId="17" xfId="0" applyFont="1" applyFill="1" applyBorder="1"/>
    <xf numFmtId="164" fontId="2" fillId="0" borderId="8" xfId="0" applyNumberFormat="1" applyFont="1" applyBorder="1"/>
    <xf numFmtId="164" fontId="0" fillId="0" borderId="9" xfId="0" applyNumberFormat="1" applyBorder="1"/>
    <xf numFmtId="0" fontId="0" fillId="0" borderId="4" xfId="0" applyBorder="1"/>
    <xf numFmtId="2" fontId="2" fillId="0" borderId="4" xfId="0" applyNumberFormat="1" applyFont="1" applyBorder="1"/>
    <xf numFmtId="2" fontId="2" fillId="0" borderId="5" xfId="0" applyNumberFormat="1" applyFont="1" applyBorder="1"/>
    <xf numFmtId="2" fontId="2" fillId="0" borderId="6" xfId="0" applyNumberFormat="1" applyFont="1" applyBorder="1"/>
    <xf numFmtId="164" fontId="2" fillId="0" borderId="4" xfId="0" applyNumberFormat="1" applyFont="1" applyBorder="1"/>
    <xf numFmtId="164" fontId="2" fillId="0" borderId="6" xfId="0" applyNumberFormat="1" applyFont="1" applyBorder="1"/>
    <xf numFmtId="0" fontId="2" fillId="11" borderId="7" xfId="0" applyFont="1" applyFill="1" applyBorder="1" applyAlignment="1">
      <alignment horizontal="center"/>
    </xf>
    <xf numFmtId="0" fontId="2" fillId="11" borderId="0" xfId="0" applyFont="1" applyFill="1" applyAlignment="1">
      <alignment horizontal="center"/>
    </xf>
    <xf numFmtId="0" fontId="2" fillId="11" borderId="8" xfId="0" applyFont="1" applyFill="1" applyBorder="1" applyAlignment="1">
      <alignment horizontal="center"/>
    </xf>
    <xf numFmtId="2" fontId="2" fillId="13" borderId="5" xfId="0" applyNumberFormat="1" applyFont="1" applyFill="1" applyBorder="1"/>
    <xf numFmtId="2" fontId="2" fillId="12" borderId="5" xfId="0" applyNumberFormat="1" applyFont="1" applyFill="1" applyBorder="1"/>
    <xf numFmtId="2" fontId="2" fillId="14" borderId="5" xfId="0" applyNumberFormat="1" applyFont="1" applyFill="1" applyBorder="1"/>
    <xf numFmtId="2" fontId="2" fillId="14" borderId="6" xfId="0" applyNumberFormat="1" applyFont="1" applyFill="1" applyBorder="1"/>
    <xf numFmtId="2" fontId="2" fillId="13" borderId="10" xfId="0" applyNumberFormat="1" applyFont="1" applyFill="1" applyBorder="1"/>
    <xf numFmtId="2" fontId="2" fillId="12" borderId="10" xfId="0" applyNumberFormat="1" applyFont="1" applyFill="1" applyBorder="1"/>
    <xf numFmtId="2" fontId="2" fillId="14" borderId="10" xfId="0" applyNumberFormat="1" applyFont="1" applyFill="1" applyBorder="1"/>
    <xf numFmtId="2" fontId="2" fillId="14" borderId="11" xfId="0" applyNumberFormat="1" applyFont="1" applyFill="1" applyBorder="1"/>
    <xf numFmtId="2" fontId="0" fillId="0" borderId="5" xfId="0" applyNumberFormat="1" applyBorder="1"/>
    <xf numFmtId="2" fontId="0" fillId="0" borderId="6" xfId="0" applyNumberFormat="1" applyBorder="1"/>
    <xf numFmtId="2" fontId="0" fillId="0" borderId="4" xfId="0" applyNumberFormat="1" applyBorder="1"/>
    <xf numFmtId="164" fontId="0" fillId="0" borderId="6" xfId="0" applyNumberFormat="1" applyBorder="1"/>
    <xf numFmtId="164" fontId="0" fillId="0" borderId="0" xfId="0" applyNumberFormat="1"/>
    <xf numFmtId="164" fontId="0" fillId="0" borderId="5" xfId="0" applyNumberFormat="1" applyBorder="1"/>
    <xf numFmtId="164" fontId="0" fillId="0" borderId="8" xfId="0" applyNumberFormat="1" applyBorder="1"/>
    <xf numFmtId="164" fontId="0" fillId="0" borderId="10" xfId="0" applyNumberFormat="1" applyBorder="1"/>
    <xf numFmtId="0" fontId="2" fillId="0" borderId="15" xfId="0" applyFont="1" applyBorder="1" applyAlignment="1">
      <alignment horizontal="right"/>
    </xf>
    <xf numFmtId="164" fontId="2" fillId="0" borderId="16" xfId="0" applyNumberFormat="1" applyFont="1" applyBorder="1"/>
    <xf numFmtId="164" fontId="2" fillId="0" borderId="17" xfId="0" applyNumberFormat="1" applyFont="1" applyBorder="1"/>
    <xf numFmtId="164" fontId="0" fillId="0" borderId="7" xfId="0" applyNumberFormat="1" applyBorder="1"/>
    <xf numFmtId="0" fontId="0" fillId="10" borderId="0" xfId="0" applyFill="1"/>
    <xf numFmtId="0" fontId="3" fillId="10" borderId="0" xfId="0" applyFont="1" applyFill="1"/>
    <xf numFmtId="2" fontId="3" fillId="0" borderId="0" xfId="0" applyNumberFormat="1" applyFont="1"/>
    <xf numFmtId="2" fontId="3" fillId="0" borderId="10" xfId="0" applyNumberFormat="1" applyFont="1" applyBorder="1"/>
    <xf numFmtId="164" fontId="2" fillId="0" borderId="10" xfId="0" applyNumberFormat="1" applyFont="1" applyBorder="1"/>
    <xf numFmtId="164" fontId="2" fillId="0" borderId="11" xfId="0" applyNumberFormat="1" applyFont="1" applyBorder="1"/>
    <xf numFmtId="0" fontId="2" fillId="11" borderId="16" xfId="0" applyFont="1" applyFill="1" applyBorder="1" applyAlignment="1">
      <alignment horizontal="center" vertical="center"/>
    </xf>
    <xf numFmtId="0" fontId="2" fillId="11" borderId="15" xfId="0" applyFont="1" applyFill="1" applyBorder="1" applyAlignment="1">
      <alignment horizontal="center" vertical="center"/>
    </xf>
    <xf numFmtId="0" fontId="9" fillId="11" borderId="16" xfId="0" applyFont="1" applyFill="1" applyBorder="1" applyAlignment="1">
      <alignment horizontal="center" vertical="center"/>
    </xf>
    <xf numFmtId="0" fontId="2" fillId="11" borderId="17" xfId="0" applyFont="1" applyFill="1" applyBorder="1" applyAlignment="1">
      <alignment horizontal="center" vertical="center"/>
    </xf>
    <xf numFmtId="164" fontId="2" fillId="0" borderId="0" xfId="0" applyNumberFormat="1" applyFont="1"/>
    <xf numFmtId="0" fontId="4" fillId="2" borderId="2" xfId="0" applyFont="1" applyFill="1" applyBorder="1" applyAlignment="1">
      <alignment horizontal="justify" vertical="center"/>
    </xf>
    <xf numFmtId="0" fontId="4" fillId="2" borderId="3" xfId="0" applyFont="1" applyFill="1" applyBorder="1" applyAlignment="1">
      <alignment horizontal="justify" vertical="center"/>
    </xf>
    <xf numFmtId="0" fontId="4" fillId="2" borderId="3" xfId="0" applyFont="1" applyFill="1" applyBorder="1" applyAlignment="1">
      <alignment horizontal="justify" vertical="center" wrapText="1"/>
    </xf>
    <xf numFmtId="0" fontId="5" fillId="0" borderId="35" xfId="0" applyFont="1" applyBorder="1" applyAlignment="1">
      <alignment horizontal="left" vertical="center"/>
    </xf>
    <xf numFmtId="0" fontId="5" fillId="0" borderId="3" xfId="0" applyFont="1" applyBorder="1" applyAlignment="1">
      <alignment horizontal="justify" vertical="center" wrapText="1"/>
    </xf>
    <xf numFmtId="0" fontId="5" fillId="0" borderId="3" xfId="0" applyFont="1" applyBorder="1" applyAlignment="1">
      <alignment horizontal="justify" vertical="center"/>
    </xf>
    <xf numFmtId="0" fontId="6" fillId="3" borderId="35" xfId="0" applyFont="1" applyFill="1" applyBorder="1" applyAlignment="1">
      <alignment horizontal="left" vertical="center"/>
    </xf>
    <xf numFmtId="14" fontId="6" fillId="3" borderId="3" xfId="0" applyNumberFormat="1" applyFont="1" applyFill="1" applyBorder="1" applyAlignment="1">
      <alignment horizontal="justify" vertical="center" wrapText="1"/>
    </xf>
    <xf numFmtId="0" fontId="6" fillId="3" borderId="3" xfId="0" applyFont="1" applyFill="1" applyBorder="1" applyAlignment="1">
      <alignment horizontal="justify" vertical="center"/>
    </xf>
    <xf numFmtId="0" fontId="6" fillId="3" borderId="3" xfId="0" applyFont="1" applyFill="1" applyBorder="1" applyAlignment="1">
      <alignment horizontal="justify" vertical="center" wrapText="1"/>
    </xf>
    <xf numFmtId="0" fontId="7" fillId="3" borderId="3" xfId="0" applyFont="1" applyFill="1" applyBorder="1" applyAlignment="1">
      <alignment horizontal="justify" vertical="center" wrapText="1"/>
    </xf>
    <xf numFmtId="0" fontId="6" fillId="4" borderId="35" xfId="0" applyFont="1" applyFill="1" applyBorder="1" applyAlignment="1">
      <alignment horizontal="left" vertical="center"/>
    </xf>
    <xf numFmtId="0" fontId="6" fillId="4" borderId="3" xfId="0" applyFont="1" applyFill="1" applyBorder="1" applyAlignment="1">
      <alignment horizontal="justify" vertical="center" wrapText="1"/>
    </xf>
    <xf numFmtId="0" fontId="6" fillId="4" borderId="3" xfId="0" applyFont="1" applyFill="1" applyBorder="1" applyAlignment="1">
      <alignment horizontal="justify" vertical="center"/>
    </xf>
    <xf numFmtId="0" fontId="7" fillId="4" borderId="3" xfId="0" applyFont="1" applyFill="1" applyBorder="1" applyAlignment="1">
      <alignment horizontal="justify" vertical="center" wrapText="1"/>
    </xf>
    <xf numFmtId="14" fontId="6" fillId="4" borderId="3" xfId="0" applyNumberFormat="1" applyFont="1" applyFill="1" applyBorder="1" applyAlignment="1">
      <alignment horizontal="justify" vertical="center" wrapText="1"/>
    </xf>
    <xf numFmtId="0" fontId="6" fillId="5" borderId="35" xfId="0" applyFont="1" applyFill="1" applyBorder="1" applyAlignment="1">
      <alignment horizontal="left" vertical="center"/>
    </xf>
    <xf numFmtId="0" fontId="6" fillId="5" borderId="3" xfId="0" applyFont="1" applyFill="1" applyBorder="1" applyAlignment="1">
      <alignment horizontal="justify" vertical="center" wrapText="1"/>
    </xf>
    <xf numFmtId="0" fontId="6" fillId="5" borderId="3" xfId="0" applyFont="1" applyFill="1" applyBorder="1" applyAlignment="1">
      <alignment horizontal="justify" vertical="center"/>
    </xf>
    <xf numFmtId="0" fontId="7" fillId="5" borderId="3" xfId="0" applyFont="1" applyFill="1" applyBorder="1" applyAlignment="1">
      <alignment horizontal="justify" vertical="center" wrapText="1"/>
    </xf>
    <xf numFmtId="14" fontId="6" fillId="5" borderId="3" xfId="0" applyNumberFormat="1" applyFont="1" applyFill="1" applyBorder="1" applyAlignment="1">
      <alignment horizontal="justify" vertical="center" wrapText="1"/>
    </xf>
    <xf numFmtId="0" fontId="6" fillId="6" borderId="35" xfId="0" applyFont="1" applyFill="1" applyBorder="1" applyAlignment="1">
      <alignment horizontal="left" vertical="center"/>
    </xf>
    <xf numFmtId="0" fontId="6" fillId="6" borderId="3" xfId="0" applyFont="1" applyFill="1" applyBorder="1" applyAlignment="1">
      <alignment horizontal="justify" vertical="center" wrapText="1"/>
    </xf>
    <xf numFmtId="0" fontId="6" fillId="6" borderId="3" xfId="0" applyFont="1" applyFill="1" applyBorder="1" applyAlignment="1">
      <alignment horizontal="justify" vertical="center"/>
    </xf>
    <xf numFmtId="0" fontId="10" fillId="0" borderId="3" xfId="0" applyFont="1" applyBorder="1" applyAlignment="1">
      <alignment horizontal="justify" vertical="center" wrapText="1"/>
    </xf>
    <xf numFmtId="167" fontId="6" fillId="7" borderId="3" xfId="0" applyNumberFormat="1" applyFont="1" applyFill="1" applyBorder="1" applyAlignment="1">
      <alignment horizontal="justify" vertical="center"/>
    </xf>
    <xf numFmtId="167" fontId="6" fillId="5" borderId="36" xfId="0" applyNumberFormat="1" applyFont="1" applyFill="1" applyBorder="1" applyAlignment="1">
      <alignment horizontal="justify" vertical="center"/>
    </xf>
    <xf numFmtId="167" fontId="6" fillId="5" borderId="3" xfId="0" applyNumberFormat="1" applyFont="1" applyFill="1" applyBorder="1" applyAlignment="1">
      <alignment horizontal="justify" vertical="center"/>
    </xf>
    <xf numFmtId="167" fontId="4" fillId="0" borderId="36" xfId="0" applyNumberFormat="1" applyFont="1" applyBorder="1" applyAlignment="1">
      <alignment horizontal="justify" vertical="center"/>
    </xf>
    <xf numFmtId="168" fontId="4" fillId="0" borderId="36" xfId="0" applyNumberFormat="1" applyFont="1" applyBorder="1" applyAlignment="1">
      <alignment horizontal="justify" vertical="center"/>
    </xf>
    <xf numFmtId="167" fontId="0" fillId="0" borderId="0" xfId="0" applyNumberFormat="1"/>
    <xf numFmtId="167" fontId="6" fillId="0" borderId="0" xfId="0" applyNumberFormat="1" applyFont="1" applyAlignment="1">
      <alignment horizontal="justify" vertical="center"/>
    </xf>
    <xf numFmtId="0" fontId="11" fillId="0" borderId="0" xfId="0" applyFont="1"/>
    <xf numFmtId="0" fontId="0" fillId="9" borderId="4" xfId="0" applyFill="1" applyBorder="1" applyAlignment="1">
      <alignment horizontal="left" vertical="center"/>
    </xf>
    <xf numFmtId="0" fontId="0" fillId="9" borderId="7" xfId="0" applyFill="1" applyBorder="1" applyAlignment="1">
      <alignment horizontal="left" vertical="center"/>
    </xf>
    <xf numFmtId="0" fontId="0" fillId="9" borderId="9" xfId="0" applyFill="1" applyBorder="1" applyAlignment="1">
      <alignment horizontal="left" vertical="center"/>
    </xf>
    <xf numFmtId="0" fontId="0" fillId="9" borderId="18" xfId="0" applyFill="1" applyBorder="1" applyAlignment="1">
      <alignment horizontal="left" vertical="center"/>
    </xf>
    <xf numFmtId="0" fontId="0" fillId="8" borderId="12" xfId="0" applyFill="1" applyBorder="1" applyAlignment="1">
      <alignment horizontal="left" vertical="center"/>
    </xf>
    <xf numFmtId="0" fontId="0" fillId="8" borderId="13" xfId="0" applyFill="1" applyBorder="1" applyAlignment="1">
      <alignment horizontal="left" vertical="center"/>
    </xf>
    <xf numFmtId="0" fontId="0" fillId="8" borderId="14" xfId="0" applyFill="1" applyBorder="1" applyAlignment="1">
      <alignment horizontal="left" vertical="center"/>
    </xf>
    <xf numFmtId="0" fontId="0" fillId="9" borderId="18" xfId="0" applyFill="1" applyBorder="1" applyAlignment="1">
      <alignment horizontal="center" vertical="center"/>
    </xf>
    <xf numFmtId="0" fontId="0" fillId="9" borderId="7" xfId="0" applyFill="1" applyBorder="1" applyAlignment="1">
      <alignment horizontal="center" vertical="center"/>
    </xf>
    <xf numFmtId="0" fontId="0" fillId="9" borderId="9" xfId="0" applyFill="1" applyBorder="1" applyAlignment="1">
      <alignment horizontal="center" vertical="center"/>
    </xf>
    <xf numFmtId="0" fontId="0" fillId="8" borderId="45" xfId="0" applyFill="1" applyBorder="1" applyAlignment="1">
      <alignment horizontal="left" vertical="center"/>
    </xf>
    <xf numFmtId="0" fontId="0" fillId="8" borderId="46" xfId="0" applyFill="1" applyBorder="1" applyAlignment="1">
      <alignment horizontal="left" vertical="center"/>
    </xf>
    <xf numFmtId="0" fontId="0" fillId="8" borderId="47" xfId="0" applyFill="1" applyBorder="1" applyAlignment="1">
      <alignment horizontal="left" vertical="center"/>
    </xf>
    <xf numFmtId="0" fontId="0" fillId="0" borderId="37" xfId="0" applyBorder="1" applyAlignment="1">
      <alignment horizontal="center"/>
    </xf>
    <xf numFmtId="0" fontId="0" fillId="0" borderId="38" xfId="0" applyBorder="1" applyAlignment="1">
      <alignment horizontal="center"/>
    </xf>
    <xf numFmtId="0" fontId="2" fillId="11" borderId="4" xfId="0" applyFont="1" applyFill="1" applyBorder="1" applyAlignment="1">
      <alignment horizontal="center" vertical="center"/>
    </xf>
    <xf numFmtId="0" fontId="2" fillId="11" borderId="7" xfId="0" applyFont="1" applyFill="1" applyBorder="1" applyAlignment="1">
      <alignment horizontal="center" vertical="center"/>
    </xf>
    <xf numFmtId="0" fontId="2" fillId="11" borderId="5" xfId="0" applyFont="1" applyFill="1" applyBorder="1" applyAlignment="1">
      <alignment horizontal="center" vertical="center"/>
    </xf>
    <xf numFmtId="0" fontId="2" fillId="11" borderId="0" xfId="0" applyFont="1" applyFill="1" applyAlignment="1">
      <alignment horizontal="center" vertical="center"/>
    </xf>
    <xf numFmtId="0" fontId="2" fillId="11" borderId="6" xfId="0" applyFont="1" applyFill="1" applyBorder="1" applyAlignment="1">
      <alignment horizontal="center" vertical="center"/>
    </xf>
    <xf numFmtId="0" fontId="2" fillId="11" borderId="8" xfId="0" applyFont="1" applyFill="1" applyBorder="1" applyAlignment="1">
      <alignment horizontal="center" vertical="center"/>
    </xf>
    <xf numFmtId="0" fontId="2" fillId="11" borderId="4" xfId="0" applyFont="1" applyFill="1" applyBorder="1" applyAlignment="1">
      <alignment horizontal="center"/>
    </xf>
    <xf numFmtId="0" fontId="2" fillId="11" borderId="5" xfId="0" applyFont="1" applyFill="1" applyBorder="1" applyAlignment="1">
      <alignment horizontal="center"/>
    </xf>
    <xf numFmtId="0" fontId="2" fillId="11" borderId="6" xfId="0" applyFont="1" applyFill="1" applyBorder="1" applyAlignment="1">
      <alignment horizontal="center"/>
    </xf>
    <xf numFmtId="0" fontId="2" fillId="11" borderId="16" xfId="0" applyFont="1" applyFill="1" applyBorder="1" applyAlignment="1">
      <alignment horizontal="center"/>
    </xf>
    <xf numFmtId="0" fontId="2" fillId="11" borderId="17" xfId="0" applyFont="1" applyFill="1" applyBorder="1" applyAlignment="1">
      <alignment horizontal="center"/>
    </xf>
    <xf numFmtId="0" fontId="2" fillId="11" borderId="9" xfId="0" applyFont="1" applyFill="1" applyBorder="1" applyAlignment="1">
      <alignment horizontal="center" vertical="center"/>
    </xf>
    <xf numFmtId="0" fontId="2" fillId="11" borderId="10" xfId="0" applyFont="1" applyFill="1" applyBorder="1" applyAlignment="1">
      <alignment horizontal="center" vertical="center"/>
    </xf>
    <xf numFmtId="0" fontId="2" fillId="11" borderId="11" xfId="0" applyFont="1" applyFill="1" applyBorder="1" applyAlignment="1">
      <alignment horizontal="center" vertical="center"/>
    </xf>
    <xf numFmtId="0" fontId="2" fillId="11" borderId="15" xfId="0" applyFont="1" applyFill="1" applyBorder="1" applyAlignment="1">
      <alignment horizontal="center"/>
    </xf>
    <xf numFmtId="0" fontId="7" fillId="5" borderId="31" xfId="0" applyFont="1" applyFill="1" applyBorder="1" applyAlignment="1">
      <alignment horizontal="center" vertical="center"/>
    </xf>
    <xf numFmtId="0" fontId="7" fillId="5" borderId="33" xfId="0" applyFont="1" applyFill="1" applyBorder="1" applyAlignment="1">
      <alignment horizontal="center" vertical="center"/>
    </xf>
    <xf numFmtId="0" fontId="4" fillId="2" borderId="30" xfId="0" applyFont="1" applyFill="1" applyBorder="1" applyAlignment="1">
      <alignment horizontal="justify" vertical="center"/>
    </xf>
    <xf numFmtId="0" fontId="4" fillId="2" borderId="34" xfId="0" applyFont="1" applyFill="1" applyBorder="1" applyAlignment="1">
      <alignment horizontal="justify" vertical="center"/>
    </xf>
    <xf numFmtId="0" fontId="4" fillId="2" borderId="35" xfId="0" applyFont="1" applyFill="1" applyBorder="1" applyAlignment="1">
      <alignment horizontal="justify" vertical="center"/>
    </xf>
    <xf numFmtId="0" fontId="4" fillId="2" borderId="30" xfId="0" applyFont="1" applyFill="1" applyBorder="1" applyAlignment="1">
      <alignment horizontal="justify" vertical="center" wrapText="1"/>
    </xf>
    <xf numFmtId="0" fontId="4" fillId="2" borderId="34" xfId="0" applyFont="1" applyFill="1" applyBorder="1" applyAlignment="1">
      <alignment horizontal="justify" vertical="center" wrapText="1"/>
    </xf>
    <xf numFmtId="0" fontId="4" fillId="2" borderId="35" xfId="0" applyFont="1" applyFill="1" applyBorder="1" applyAlignment="1">
      <alignment horizontal="justify" vertical="center" wrapText="1"/>
    </xf>
    <xf numFmtId="0" fontId="4" fillId="2" borderId="31" xfId="0" applyFont="1" applyFill="1" applyBorder="1" applyAlignment="1">
      <alignment horizontal="center" vertical="center"/>
    </xf>
    <xf numFmtId="0" fontId="4" fillId="2" borderId="32" xfId="0" applyFont="1" applyFill="1" applyBorder="1" applyAlignment="1">
      <alignment horizontal="center" vertical="center"/>
    </xf>
    <xf numFmtId="0" fontId="4" fillId="2" borderId="33" xfId="0" applyFont="1" applyFill="1" applyBorder="1" applyAlignment="1">
      <alignment horizontal="center" vertical="center"/>
    </xf>
    <xf numFmtId="0" fontId="7" fillId="7" borderId="31" xfId="0" applyFont="1" applyFill="1" applyBorder="1" applyAlignment="1">
      <alignment horizontal="center" vertical="center"/>
    </xf>
    <xf numFmtId="0" fontId="7" fillId="7" borderId="33" xfId="0" applyFont="1" applyFill="1" applyBorder="1" applyAlignment="1">
      <alignment horizontal="center" vertical="center"/>
    </xf>
    <xf numFmtId="0" fontId="8" fillId="0" borderId="31" xfId="0" applyFont="1" applyBorder="1" applyAlignment="1">
      <alignment horizontal="center" vertical="center"/>
    </xf>
    <xf numFmtId="0" fontId="8" fillId="0" borderId="3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microsoft.com/office/2017/10/relationships/person" Target="persons/perso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476250</xdr:colOff>
      <xdr:row>1</xdr:row>
      <xdr:rowOff>28574</xdr:rowOff>
    </xdr:from>
    <xdr:to>
      <xdr:col>22</xdr:col>
      <xdr:colOff>114300</xdr:colOff>
      <xdr:row>18</xdr:row>
      <xdr:rowOff>95250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8E64947-3D77-4193-AF8C-88BB204C9C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20475" y="228599"/>
          <a:ext cx="5734050" cy="34575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William Peden" id="{583BF144-2C08-4013-A06A-AD670963404D}" userId="S::william.peden@hidefsurveying.co.uk::e5d87a7d-0ea9-4c13-8d97-696cf8835e2a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D2" dT="2023-10-03T09:53:23.28" personId="{583BF144-2C08-4013-A06A-AD670963404D}" id="{4126C073-27D4-4AC2-A2A0-C7B7A712242C}">
    <text>Impacts were split over three runs of the PVA tool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B71C9-E8E5-49AB-9806-2844D98E13DC}">
  <dimension ref="A1:G181"/>
  <sheetViews>
    <sheetView topLeftCell="A96" zoomScaleNormal="100" workbookViewId="0">
      <selection activeCell="C164" sqref="C164"/>
    </sheetView>
  </sheetViews>
  <sheetFormatPr defaultRowHeight="15" x14ac:dyDescent="0.25"/>
  <cols>
    <col min="1" max="1" width="28" bestFit="1" customWidth="1"/>
    <col min="2" max="2" width="61.7109375" customWidth="1"/>
    <col min="3" max="3" width="70.7109375" bestFit="1" customWidth="1"/>
    <col min="4" max="4" width="26.42578125" customWidth="1"/>
    <col min="6" max="7" width="11.5703125" bestFit="1" customWidth="1"/>
  </cols>
  <sheetData>
    <row r="1" spans="1:4" ht="15.75" thickBot="1" x14ac:dyDescent="0.3">
      <c r="A1" t="s">
        <v>37</v>
      </c>
      <c r="B1" t="s">
        <v>39</v>
      </c>
      <c r="C1" t="s">
        <v>40</v>
      </c>
      <c r="D1" t="s">
        <v>38</v>
      </c>
    </row>
    <row r="2" spans="1:4" x14ac:dyDescent="0.25">
      <c r="A2" s="164" t="s">
        <v>0</v>
      </c>
      <c r="B2" s="163" t="s">
        <v>1</v>
      </c>
      <c r="C2" s="37" t="s">
        <v>11</v>
      </c>
      <c r="D2" s="4" t="s">
        <v>212</v>
      </c>
    </row>
    <row r="3" spans="1:4" x14ac:dyDescent="0.25">
      <c r="A3" s="165"/>
      <c r="B3" s="162"/>
      <c r="C3" s="38" t="s">
        <v>243</v>
      </c>
      <c r="D3" s="5" t="s">
        <v>2</v>
      </c>
    </row>
    <row r="4" spans="1:4" x14ac:dyDescent="0.25">
      <c r="A4" s="165"/>
      <c r="B4" s="160" t="s">
        <v>3</v>
      </c>
      <c r="C4" s="39" t="s">
        <v>245</v>
      </c>
      <c r="D4" s="6" t="s">
        <v>4</v>
      </c>
    </row>
    <row r="5" spans="1:4" x14ac:dyDescent="0.25">
      <c r="A5" s="165"/>
      <c r="B5" s="161"/>
      <c r="C5" s="40" t="s">
        <v>244</v>
      </c>
      <c r="D5" s="7" t="s">
        <v>5</v>
      </c>
    </row>
    <row r="6" spans="1:4" x14ac:dyDescent="0.25">
      <c r="A6" s="165"/>
      <c r="B6" s="162"/>
      <c r="C6" s="38" t="s">
        <v>246</v>
      </c>
      <c r="D6" s="5" t="s">
        <v>6</v>
      </c>
    </row>
    <row r="7" spans="1:4" x14ac:dyDescent="0.25">
      <c r="A7" s="165"/>
      <c r="B7" s="160" t="s">
        <v>2</v>
      </c>
      <c r="C7" s="39" t="s">
        <v>247</v>
      </c>
      <c r="D7" s="6">
        <v>5000</v>
      </c>
    </row>
    <row r="8" spans="1:4" x14ac:dyDescent="0.25">
      <c r="A8" s="165"/>
      <c r="B8" s="161"/>
      <c r="C8" s="40" t="s">
        <v>7</v>
      </c>
      <c r="D8" s="7">
        <v>1234</v>
      </c>
    </row>
    <row r="9" spans="1:4" x14ac:dyDescent="0.25">
      <c r="A9" s="165"/>
      <c r="B9" s="162"/>
      <c r="C9" s="38" t="s">
        <v>8</v>
      </c>
      <c r="D9" s="5">
        <v>0</v>
      </c>
    </row>
    <row r="10" spans="1:4" ht="15.75" thickBot="1" x14ac:dyDescent="0.3">
      <c r="A10" s="166"/>
      <c r="B10" s="46" t="s">
        <v>9</v>
      </c>
      <c r="C10" s="41" t="s">
        <v>248</v>
      </c>
      <c r="D10" s="8" t="s">
        <v>10</v>
      </c>
    </row>
    <row r="11" spans="1:4" x14ac:dyDescent="0.25">
      <c r="A11" s="164" t="s">
        <v>27</v>
      </c>
      <c r="B11" s="167" t="s">
        <v>12</v>
      </c>
      <c r="C11" s="42" t="s">
        <v>13</v>
      </c>
      <c r="D11" s="4" t="s">
        <v>14</v>
      </c>
    </row>
    <row r="12" spans="1:4" x14ac:dyDescent="0.25">
      <c r="A12" s="165"/>
      <c r="B12" s="168"/>
      <c r="C12" s="40" t="s">
        <v>249</v>
      </c>
      <c r="D12" s="7" t="s">
        <v>15</v>
      </c>
    </row>
    <row r="13" spans="1:4" x14ac:dyDescent="0.25">
      <c r="A13" s="165"/>
      <c r="B13" s="168"/>
      <c r="C13" s="40" t="s">
        <v>250</v>
      </c>
      <c r="D13" s="7" t="s">
        <v>16</v>
      </c>
    </row>
    <row r="14" spans="1:4" x14ac:dyDescent="0.25">
      <c r="A14" s="165"/>
      <c r="B14" s="169"/>
      <c r="C14" s="38" t="s">
        <v>17</v>
      </c>
      <c r="D14" s="5"/>
    </row>
    <row r="15" spans="1:4" x14ac:dyDescent="0.25">
      <c r="A15" s="165"/>
      <c r="B15" s="47" t="s">
        <v>18</v>
      </c>
      <c r="C15" s="11" t="s">
        <v>251</v>
      </c>
      <c r="D15" s="9" t="s">
        <v>19</v>
      </c>
    </row>
    <row r="16" spans="1:4" x14ac:dyDescent="0.25">
      <c r="A16" s="165"/>
      <c r="B16" s="160" t="s">
        <v>20</v>
      </c>
      <c r="C16" s="39" t="s">
        <v>252</v>
      </c>
      <c r="D16" s="6" t="s">
        <v>6</v>
      </c>
    </row>
    <row r="17" spans="1:4" x14ac:dyDescent="0.25">
      <c r="A17" s="165"/>
      <c r="B17" s="162"/>
      <c r="C17" s="38" t="s">
        <v>253</v>
      </c>
      <c r="D17" s="5">
        <v>2</v>
      </c>
    </row>
    <row r="18" spans="1:4" x14ac:dyDescent="0.25">
      <c r="A18" s="165"/>
      <c r="B18" s="160" t="s">
        <v>21</v>
      </c>
      <c r="C18" s="39" t="s">
        <v>254</v>
      </c>
      <c r="D18" s="6">
        <v>1</v>
      </c>
    </row>
    <row r="19" spans="1:4" x14ac:dyDescent="0.25">
      <c r="A19" s="165"/>
      <c r="B19" s="162"/>
      <c r="C19" s="38" t="s">
        <v>255</v>
      </c>
      <c r="D19" s="5" t="s">
        <v>22</v>
      </c>
    </row>
    <row r="20" spans="1:4" x14ac:dyDescent="0.25">
      <c r="A20" s="165"/>
      <c r="B20" s="47" t="s">
        <v>256</v>
      </c>
      <c r="C20" s="11" t="s">
        <v>257</v>
      </c>
      <c r="D20" s="9" t="s">
        <v>23</v>
      </c>
    </row>
    <row r="21" spans="1:4" x14ac:dyDescent="0.25">
      <c r="A21" s="165"/>
      <c r="B21" s="47" t="s">
        <v>24</v>
      </c>
      <c r="C21" s="43" t="s">
        <v>258</v>
      </c>
      <c r="D21" s="9" t="s">
        <v>6</v>
      </c>
    </row>
    <row r="22" spans="1:4" x14ac:dyDescent="0.25">
      <c r="A22" s="165"/>
      <c r="B22" s="160" t="s">
        <v>259</v>
      </c>
      <c r="C22" s="39" t="s">
        <v>260</v>
      </c>
      <c r="D22" s="6">
        <v>2016</v>
      </c>
    </row>
    <row r="23" spans="1:4" x14ac:dyDescent="0.25">
      <c r="A23" s="165"/>
      <c r="B23" s="161"/>
      <c r="C23" s="159" t="s">
        <v>261</v>
      </c>
      <c r="D23" s="7">
        <v>11146</v>
      </c>
    </row>
    <row r="24" spans="1:4" x14ac:dyDescent="0.25">
      <c r="A24" s="165"/>
      <c r="B24" s="161"/>
      <c r="C24" s="40" t="s">
        <v>262</v>
      </c>
      <c r="D24" s="7">
        <v>0.69</v>
      </c>
    </row>
    <row r="25" spans="1:4" x14ac:dyDescent="0.25">
      <c r="A25" s="165"/>
      <c r="B25" s="161"/>
      <c r="C25" s="40" t="s">
        <v>263</v>
      </c>
      <c r="D25" s="7">
        <v>0.29599999999999999</v>
      </c>
    </row>
    <row r="26" spans="1:4" x14ac:dyDescent="0.25">
      <c r="A26" s="165"/>
      <c r="B26" s="161"/>
      <c r="C26" s="40" t="s">
        <v>264</v>
      </c>
      <c r="D26" s="10" t="s">
        <v>26</v>
      </c>
    </row>
    <row r="27" spans="1:4" x14ac:dyDescent="0.25">
      <c r="A27" s="165"/>
      <c r="B27" s="161"/>
      <c r="C27" s="40" t="s">
        <v>265</v>
      </c>
      <c r="D27" s="7">
        <v>0.85399999999999998</v>
      </c>
    </row>
    <row r="28" spans="1:4" x14ac:dyDescent="0.25">
      <c r="A28" s="165"/>
      <c r="B28" s="161"/>
      <c r="C28" s="40" t="s">
        <v>266</v>
      </c>
      <c r="D28" s="7">
        <v>7.6999999999999999E-2</v>
      </c>
    </row>
    <row r="29" spans="1:4" x14ac:dyDescent="0.25">
      <c r="A29" s="165"/>
      <c r="B29" s="161"/>
      <c r="C29" s="40" t="s">
        <v>267</v>
      </c>
      <c r="D29" s="7" t="s">
        <v>26</v>
      </c>
    </row>
    <row r="30" spans="1:4" x14ac:dyDescent="0.25">
      <c r="A30" s="165"/>
      <c r="B30" s="161"/>
      <c r="C30" s="40" t="s">
        <v>268</v>
      </c>
      <c r="D30" s="7">
        <v>0.79</v>
      </c>
    </row>
    <row r="31" spans="1:4" x14ac:dyDescent="0.25">
      <c r="A31" s="165"/>
      <c r="B31" s="161"/>
      <c r="C31" s="40" t="s">
        <v>269</v>
      </c>
      <c r="D31" s="7">
        <v>1.0000000000000001E-5</v>
      </c>
    </row>
    <row r="32" spans="1:4" x14ac:dyDescent="0.25">
      <c r="A32" s="165"/>
      <c r="B32" s="161"/>
      <c r="C32" s="40" t="s">
        <v>270</v>
      </c>
      <c r="D32" s="7" t="s">
        <v>26</v>
      </c>
    </row>
    <row r="33" spans="1:4" x14ac:dyDescent="0.25">
      <c r="A33" s="165"/>
      <c r="B33" s="161"/>
      <c r="C33" s="40" t="s">
        <v>271</v>
      </c>
      <c r="D33" s="7">
        <v>0.85399999999999998</v>
      </c>
    </row>
    <row r="34" spans="1:4" x14ac:dyDescent="0.25">
      <c r="A34" s="165"/>
      <c r="B34" s="161"/>
      <c r="C34" s="40" t="s">
        <v>272</v>
      </c>
      <c r="D34" s="7">
        <v>7.6999999999999999E-2</v>
      </c>
    </row>
    <row r="35" spans="1:4" x14ac:dyDescent="0.25">
      <c r="A35" s="165"/>
      <c r="B35" s="161"/>
      <c r="C35" s="40" t="s">
        <v>273</v>
      </c>
      <c r="D35" s="7" t="s">
        <v>26</v>
      </c>
    </row>
    <row r="36" spans="1:4" x14ac:dyDescent="0.25">
      <c r="A36" s="165"/>
      <c r="B36" s="161"/>
      <c r="C36" s="40" t="s">
        <v>274</v>
      </c>
      <c r="D36" s="7">
        <v>0.85399999999999998</v>
      </c>
    </row>
    <row r="37" spans="1:4" x14ac:dyDescent="0.25">
      <c r="A37" s="165"/>
      <c r="B37" s="161"/>
      <c r="C37" s="40" t="s">
        <v>275</v>
      </c>
      <c r="D37" s="7">
        <v>7.6999999999999999E-2</v>
      </c>
    </row>
    <row r="38" spans="1:4" x14ac:dyDescent="0.25">
      <c r="A38" s="165"/>
      <c r="B38" s="161"/>
      <c r="C38" s="40" t="s">
        <v>276</v>
      </c>
      <c r="D38" s="7" t="s">
        <v>26</v>
      </c>
    </row>
    <row r="39" spans="1:4" x14ac:dyDescent="0.25">
      <c r="A39" s="165"/>
      <c r="B39" s="161"/>
      <c r="C39" s="40" t="s">
        <v>277</v>
      </c>
      <c r="D39" s="7">
        <v>0.85399999999999998</v>
      </c>
    </row>
    <row r="40" spans="1:4" x14ac:dyDescent="0.25">
      <c r="A40" s="165"/>
      <c r="B40" s="161"/>
      <c r="C40" s="40" t="s">
        <v>278</v>
      </c>
      <c r="D40" s="7">
        <v>7.6999999999999999E-2</v>
      </c>
    </row>
    <row r="41" spans="1:4" ht="15.75" thickBot="1" x14ac:dyDescent="0.3">
      <c r="A41" s="165"/>
      <c r="B41" s="161"/>
      <c r="C41" s="40" t="s">
        <v>279</v>
      </c>
      <c r="D41" s="7" t="s">
        <v>26</v>
      </c>
    </row>
    <row r="42" spans="1:4" x14ac:dyDescent="0.25">
      <c r="A42" s="164" t="s">
        <v>36</v>
      </c>
      <c r="B42" s="48" t="s">
        <v>28</v>
      </c>
      <c r="C42" s="44" t="s">
        <v>280</v>
      </c>
      <c r="D42" s="12" t="s">
        <v>301</v>
      </c>
    </row>
    <row r="43" spans="1:4" x14ac:dyDescent="0.25">
      <c r="A43" s="165"/>
      <c r="B43" s="160" t="s">
        <v>29</v>
      </c>
      <c r="C43" s="39" t="s">
        <v>281</v>
      </c>
      <c r="D43" s="6" t="s">
        <v>30</v>
      </c>
    </row>
    <row r="44" spans="1:4" x14ac:dyDescent="0.25">
      <c r="A44" s="165"/>
      <c r="B44" s="161"/>
      <c r="C44" s="40" t="s">
        <v>282</v>
      </c>
      <c r="D44" s="7" t="s">
        <v>6</v>
      </c>
    </row>
    <row r="45" spans="1:4" x14ac:dyDescent="0.25">
      <c r="A45" s="165"/>
      <c r="B45" s="161"/>
      <c r="C45" s="40" t="s">
        <v>283</v>
      </c>
      <c r="D45" s="7" t="s">
        <v>30</v>
      </c>
    </row>
    <row r="46" spans="1:4" x14ac:dyDescent="0.25">
      <c r="A46" s="165"/>
      <c r="B46" s="162"/>
      <c r="C46" s="38" t="s">
        <v>284</v>
      </c>
      <c r="D46" s="5" t="s">
        <v>6</v>
      </c>
    </row>
    <row r="47" spans="1:4" x14ac:dyDescent="0.25">
      <c r="A47" s="165"/>
      <c r="B47" s="47" t="s">
        <v>31</v>
      </c>
      <c r="C47" s="11" t="s">
        <v>285</v>
      </c>
      <c r="D47" s="9" t="s">
        <v>32</v>
      </c>
    </row>
    <row r="48" spans="1:4" x14ac:dyDescent="0.25">
      <c r="A48" s="165"/>
      <c r="B48" s="160" t="s">
        <v>33</v>
      </c>
      <c r="C48" s="39" t="s">
        <v>34</v>
      </c>
      <c r="D48" s="6">
        <v>2027</v>
      </c>
    </row>
    <row r="49" spans="1:7" x14ac:dyDescent="0.25">
      <c r="A49" s="165"/>
      <c r="B49" s="162"/>
      <c r="C49" s="38" t="s">
        <v>35</v>
      </c>
      <c r="D49" s="13">
        <v>2077</v>
      </c>
      <c r="F49" t="s">
        <v>211</v>
      </c>
    </row>
    <row r="50" spans="1:7" x14ac:dyDescent="0.25">
      <c r="A50" s="165"/>
      <c r="B50" s="160" t="s">
        <v>41</v>
      </c>
      <c r="C50" s="39" t="s">
        <v>42</v>
      </c>
      <c r="D50" s="6">
        <v>1</v>
      </c>
      <c r="F50" s="23" t="s">
        <v>199</v>
      </c>
      <c r="G50" s="3" t="s">
        <v>202</v>
      </c>
    </row>
    <row r="51" spans="1:7" x14ac:dyDescent="0.25">
      <c r="A51" s="165"/>
      <c r="B51" s="161"/>
      <c r="C51" s="40" t="s">
        <v>286</v>
      </c>
      <c r="D51" s="14">
        <f>SUM(F51:G51)</f>
        <v>1.6124834021173518E-3</v>
      </c>
      <c r="F51" s="115"/>
      <c r="G51" s="110">
        <f>'SeabORD outputs'!D11</f>
        <v>1.6124834021173518E-3</v>
      </c>
    </row>
    <row r="52" spans="1:7" x14ac:dyDescent="0.25">
      <c r="A52" s="165"/>
      <c r="B52" s="161"/>
      <c r="C52" s="40" t="s">
        <v>287</v>
      </c>
      <c r="D52" s="14"/>
      <c r="F52" s="115"/>
      <c r="G52" s="110"/>
    </row>
    <row r="53" spans="1:7" x14ac:dyDescent="0.25">
      <c r="A53" s="165"/>
      <c r="B53" s="161"/>
      <c r="C53" s="40" t="s">
        <v>288</v>
      </c>
      <c r="D53" s="14">
        <f>SUM(F53:G53)</f>
        <v>2.9031970042963859E-4</v>
      </c>
      <c r="F53" s="115">
        <f>'CRM -Pentland, Moray Firth &amp; BB'!N26</f>
        <v>1.9855225022328651E-4</v>
      </c>
      <c r="G53" s="110">
        <f>'SeabORD outputs'!F11</f>
        <v>9.1767450206352075E-5</v>
      </c>
    </row>
    <row r="54" spans="1:7" x14ac:dyDescent="0.25">
      <c r="A54" s="165"/>
      <c r="B54" s="161"/>
      <c r="C54" s="40" t="s">
        <v>289</v>
      </c>
      <c r="D54" s="14"/>
      <c r="F54" s="115"/>
      <c r="G54" s="110"/>
    </row>
    <row r="55" spans="1:7" x14ac:dyDescent="0.25">
      <c r="A55" s="165"/>
      <c r="B55" s="161"/>
      <c r="C55" s="40" t="s">
        <v>290</v>
      </c>
      <c r="D55" s="14">
        <f>SUM(F55:G55)</f>
        <v>1.9600332368106418E-5</v>
      </c>
      <c r="F55" s="115">
        <f>'CRM -Pentland, Moray Firth &amp; BB'!O26</f>
        <v>1.9600332368106418E-5</v>
      </c>
      <c r="G55" s="110"/>
    </row>
    <row r="56" spans="1:7" x14ac:dyDescent="0.25">
      <c r="A56" s="165"/>
      <c r="B56" s="162"/>
      <c r="C56" s="38" t="s">
        <v>291</v>
      </c>
      <c r="D56" s="15"/>
      <c r="F56" s="115"/>
      <c r="G56" s="110"/>
    </row>
    <row r="57" spans="1:7" x14ac:dyDescent="0.25">
      <c r="A57" s="165"/>
      <c r="B57" s="160" t="s">
        <v>43</v>
      </c>
      <c r="C57" s="39" t="s">
        <v>42</v>
      </c>
      <c r="D57" s="16">
        <v>2</v>
      </c>
      <c r="F57" s="115"/>
      <c r="G57" s="110"/>
    </row>
    <row r="58" spans="1:7" x14ac:dyDescent="0.25">
      <c r="A58" s="165"/>
      <c r="B58" s="161"/>
      <c r="C58" s="40" t="s">
        <v>286</v>
      </c>
      <c r="D58" s="14">
        <f>SUM(F58:G58)</f>
        <v>3.8743082720258397E-3</v>
      </c>
      <c r="F58" s="115"/>
      <c r="G58" s="110">
        <f>'SeabORD outputs'!L11</f>
        <v>3.8743082720258397E-3</v>
      </c>
    </row>
    <row r="59" spans="1:7" x14ac:dyDescent="0.25">
      <c r="A59" s="165"/>
      <c r="B59" s="161"/>
      <c r="C59" s="40" t="s">
        <v>287</v>
      </c>
      <c r="D59" s="14"/>
      <c r="F59" s="115"/>
      <c r="G59" s="110"/>
    </row>
    <row r="60" spans="1:7" x14ac:dyDescent="0.25">
      <c r="A60" s="165"/>
      <c r="B60" s="161"/>
      <c r="C60" s="40" t="s">
        <v>288</v>
      </c>
      <c r="D60" s="14">
        <f>SUM(F60:G60)</f>
        <v>9.4145675404770787E-4</v>
      </c>
      <c r="F60" s="115">
        <f>'CRM -Pentland, Moray Firth &amp; BB'!N55+'CRM -Pentland, Moray Firth &amp; BB'!N26</f>
        <v>4.9429005747494634E-4</v>
      </c>
      <c r="G60" s="110">
        <f>'SeabORD outputs'!N11</f>
        <v>4.4716669657276153E-4</v>
      </c>
    </row>
    <row r="61" spans="1:7" x14ac:dyDescent="0.25">
      <c r="A61" s="165"/>
      <c r="B61" s="161"/>
      <c r="C61" s="40" t="s">
        <v>289</v>
      </c>
      <c r="D61" s="14"/>
      <c r="F61" s="115"/>
      <c r="G61" s="110"/>
    </row>
    <row r="62" spans="1:7" x14ac:dyDescent="0.25">
      <c r="A62" s="165"/>
      <c r="B62" s="161"/>
      <c r="C62" s="40" t="s">
        <v>290</v>
      </c>
      <c r="D62" s="14">
        <f>SUM(F62:G62)</f>
        <v>1.1548579309886184E-4</v>
      </c>
      <c r="F62" s="115">
        <f>'CRM -Pentland, Moray Firth &amp; BB'!O55+'CRM -Pentland, Moray Firth &amp; BB'!O26</f>
        <v>1.1548579309886184E-4</v>
      </c>
      <c r="G62" s="110"/>
    </row>
    <row r="63" spans="1:7" x14ac:dyDescent="0.25">
      <c r="A63" s="165"/>
      <c r="B63" s="162"/>
      <c r="C63" s="38" t="s">
        <v>291</v>
      </c>
      <c r="D63" s="15"/>
      <c r="F63" s="115"/>
      <c r="G63" s="110"/>
    </row>
    <row r="64" spans="1:7" x14ac:dyDescent="0.25">
      <c r="A64" s="165"/>
      <c r="B64" s="160" t="s">
        <v>44</v>
      </c>
      <c r="C64" s="39" t="s">
        <v>42</v>
      </c>
      <c r="D64" s="17" t="s">
        <v>45</v>
      </c>
      <c r="F64" s="115"/>
      <c r="G64" s="110"/>
    </row>
    <row r="65" spans="1:7" x14ac:dyDescent="0.25">
      <c r="A65" s="165"/>
      <c r="B65" s="161"/>
      <c r="C65" s="40" t="s">
        <v>286</v>
      </c>
      <c r="D65" s="14">
        <f>SUM(F65:G65)</f>
        <v>0</v>
      </c>
      <c r="F65" s="115"/>
      <c r="G65" s="110"/>
    </row>
    <row r="66" spans="1:7" x14ac:dyDescent="0.25">
      <c r="A66" s="165"/>
      <c r="B66" s="161"/>
      <c r="C66" s="40" t="s">
        <v>287</v>
      </c>
      <c r="D66" s="14"/>
      <c r="F66" s="115"/>
      <c r="G66" s="110"/>
    </row>
    <row r="67" spans="1:7" x14ac:dyDescent="0.25">
      <c r="A67" s="165"/>
      <c r="B67" s="161"/>
      <c r="C67" s="40" t="s">
        <v>288</v>
      </c>
      <c r="D67" s="14">
        <f>SUM(F67:G67)</f>
        <v>2.3810213529517317E-3</v>
      </c>
      <c r="F67" s="115">
        <f>'CRM -North Sea Compilation'!D57+'CRM -North Sea Compilation'!H57</f>
        <v>2.3810213529517317E-3</v>
      </c>
      <c r="G67" s="110"/>
    </row>
    <row r="68" spans="1:7" x14ac:dyDescent="0.25">
      <c r="A68" s="165"/>
      <c r="B68" s="161"/>
      <c r="C68" s="40" t="s">
        <v>289</v>
      </c>
      <c r="D68" s="14"/>
      <c r="F68" s="115"/>
      <c r="G68" s="110"/>
    </row>
    <row r="69" spans="1:7" x14ac:dyDescent="0.25">
      <c r="A69" s="165"/>
      <c r="B69" s="161"/>
      <c r="C69" s="40" t="s">
        <v>290</v>
      </c>
      <c r="D69" s="14">
        <f>SUM(F69:G69)</f>
        <v>2.5456718170807796E-3</v>
      </c>
      <c r="F69" s="115">
        <f>'CRM -North Sea Compilation'!D58+'CRM -North Sea Compilation'!H58</f>
        <v>2.5456718170807796E-3</v>
      </c>
      <c r="G69" s="110"/>
    </row>
    <row r="70" spans="1:7" x14ac:dyDescent="0.25">
      <c r="A70" s="165"/>
      <c r="B70" s="162"/>
      <c r="C70" s="38" t="s">
        <v>291</v>
      </c>
      <c r="D70" s="15"/>
      <c r="F70" s="115"/>
      <c r="G70" s="110"/>
    </row>
    <row r="71" spans="1:7" x14ac:dyDescent="0.25">
      <c r="A71" s="165"/>
      <c r="B71" s="160" t="s">
        <v>46</v>
      </c>
      <c r="C71" s="39" t="s">
        <v>42</v>
      </c>
      <c r="D71" s="17" t="s">
        <v>47</v>
      </c>
      <c r="F71" s="115"/>
      <c r="G71" s="110"/>
    </row>
    <row r="72" spans="1:7" x14ac:dyDescent="0.25">
      <c r="A72" s="165"/>
      <c r="B72" s="161"/>
      <c r="C72" s="40" t="s">
        <v>286</v>
      </c>
      <c r="D72" s="14">
        <f>SUM(F72:G72)</f>
        <v>0</v>
      </c>
      <c r="F72" s="115"/>
      <c r="G72" s="110"/>
    </row>
    <row r="73" spans="1:7" x14ac:dyDescent="0.25">
      <c r="A73" s="165"/>
      <c r="B73" s="161"/>
      <c r="C73" s="40" t="s">
        <v>287</v>
      </c>
      <c r="D73" s="14"/>
      <c r="F73" s="115"/>
      <c r="G73" s="110"/>
    </row>
    <row r="74" spans="1:7" x14ac:dyDescent="0.25">
      <c r="A74" s="165"/>
      <c r="B74" s="161"/>
      <c r="C74" s="40" t="s">
        <v>288</v>
      </c>
      <c r="D74" s="14">
        <f>SUM(F74:G74)</f>
        <v>2.0241431577573692E-3</v>
      </c>
      <c r="F74" s="115">
        <f>'CRM -North Sea Compilation'!E57+'CRM -North Sea Compilation'!I57</f>
        <v>2.0241431577573692E-3</v>
      </c>
      <c r="G74" s="110"/>
    </row>
    <row r="75" spans="1:7" x14ac:dyDescent="0.25">
      <c r="A75" s="165"/>
      <c r="B75" s="161"/>
      <c r="C75" s="40" t="s">
        <v>289</v>
      </c>
      <c r="D75" s="14"/>
      <c r="F75" s="115"/>
      <c r="G75" s="110"/>
    </row>
    <row r="76" spans="1:7" x14ac:dyDescent="0.25">
      <c r="A76" s="165"/>
      <c r="B76" s="161"/>
      <c r="C76" s="40" t="s">
        <v>290</v>
      </c>
      <c r="D76" s="14">
        <f>SUM(F76:G76)</f>
        <v>2.2099264750859425E-3</v>
      </c>
      <c r="F76" s="115">
        <f>'CRM -North Sea Compilation'!E58+'CRM -North Sea Compilation'!I58</f>
        <v>2.2099264750859425E-3</v>
      </c>
      <c r="G76" s="110"/>
    </row>
    <row r="77" spans="1:7" x14ac:dyDescent="0.25">
      <c r="A77" s="165"/>
      <c r="B77" s="162"/>
      <c r="C77" s="38" t="s">
        <v>291</v>
      </c>
      <c r="D77" s="15"/>
      <c r="F77" s="115"/>
      <c r="G77" s="110"/>
    </row>
    <row r="78" spans="1:7" x14ac:dyDescent="0.25">
      <c r="A78" s="165"/>
      <c r="B78" s="160" t="s">
        <v>48</v>
      </c>
      <c r="C78" s="39" t="s">
        <v>42</v>
      </c>
      <c r="D78" s="17" t="s">
        <v>49</v>
      </c>
      <c r="F78" s="115"/>
      <c r="G78" s="110"/>
    </row>
    <row r="79" spans="1:7" x14ac:dyDescent="0.25">
      <c r="A79" s="165"/>
      <c r="B79" s="161"/>
      <c r="C79" s="40" t="s">
        <v>286</v>
      </c>
      <c r="D79" s="14">
        <f>SUM(F79:G79)</f>
        <v>0</v>
      </c>
      <c r="F79" s="115"/>
      <c r="G79" s="110"/>
    </row>
    <row r="80" spans="1:7" x14ac:dyDescent="0.25">
      <c r="A80" s="165"/>
      <c r="B80" s="161"/>
      <c r="C80" s="40" t="s">
        <v>287</v>
      </c>
      <c r="D80" s="14"/>
      <c r="F80" s="115"/>
      <c r="G80" s="110"/>
    </row>
    <row r="81" spans="1:7" x14ac:dyDescent="0.25">
      <c r="A81" s="165"/>
      <c r="B81" s="161"/>
      <c r="C81" s="40" t="s">
        <v>288</v>
      </c>
      <c r="D81" s="14">
        <f>SUM(F81:G81)</f>
        <v>1.6761476599840138E-3</v>
      </c>
      <c r="F81" s="115">
        <f>'CRM -North Sea Compilation'!F57+'CRM -North Sea Compilation'!J57</f>
        <v>1.6761476599840138E-3</v>
      </c>
      <c r="G81" s="110"/>
    </row>
    <row r="82" spans="1:7" x14ac:dyDescent="0.25">
      <c r="A82" s="165"/>
      <c r="B82" s="161"/>
      <c r="C82" s="40" t="s">
        <v>289</v>
      </c>
      <c r="D82" s="14"/>
      <c r="F82" s="115"/>
      <c r="G82" s="110"/>
    </row>
    <row r="83" spans="1:7" x14ac:dyDescent="0.25">
      <c r="A83" s="165"/>
      <c r="B83" s="161"/>
      <c r="C83" s="40" t="s">
        <v>290</v>
      </c>
      <c r="D83" s="14">
        <f>SUM(F83:G83)</f>
        <v>1.8234687610868476E-3</v>
      </c>
      <c r="F83" s="115">
        <f>'CRM -North Sea Compilation'!F58+'CRM -North Sea Compilation'!J58</f>
        <v>1.8234687610868476E-3</v>
      </c>
      <c r="G83" s="110"/>
    </row>
    <row r="84" spans="1:7" x14ac:dyDescent="0.25">
      <c r="A84" s="165"/>
      <c r="B84" s="162"/>
      <c r="C84" s="38" t="s">
        <v>291</v>
      </c>
      <c r="D84" s="15"/>
      <c r="F84" s="115"/>
      <c r="G84" s="110"/>
    </row>
    <row r="85" spans="1:7" x14ac:dyDescent="0.25">
      <c r="A85" s="165"/>
      <c r="B85" s="160" t="s">
        <v>50</v>
      </c>
      <c r="C85" s="39" t="s">
        <v>42</v>
      </c>
      <c r="D85" s="17" t="s">
        <v>51</v>
      </c>
      <c r="F85" s="115"/>
      <c r="G85" s="110"/>
    </row>
    <row r="86" spans="1:7" x14ac:dyDescent="0.25">
      <c r="A86" s="165"/>
      <c r="B86" s="161"/>
      <c r="C86" s="40" t="s">
        <v>286</v>
      </c>
      <c r="D86" s="14">
        <f>SUM(F86:G86)</f>
        <v>0</v>
      </c>
      <c r="F86" s="115"/>
      <c r="G86" s="110"/>
    </row>
    <row r="87" spans="1:7" x14ac:dyDescent="0.25">
      <c r="A87" s="165"/>
      <c r="B87" s="161"/>
      <c r="C87" s="40" t="s">
        <v>287</v>
      </c>
      <c r="D87" s="14"/>
      <c r="F87" s="115"/>
      <c r="G87" s="110"/>
    </row>
    <row r="88" spans="1:7" x14ac:dyDescent="0.25">
      <c r="A88" s="165"/>
      <c r="B88" s="161"/>
      <c r="C88" s="40" t="s">
        <v>288</v>
      </c>
      <c r="D88" s="14">
        <f>SUM(F88:G88)</f>
        <v>1.5390626886123027E-3</v>
      </c>
      <c r="F88" s="115">
        <f>'CRM -North Sea Compilation'!G57+'CRM -North Sea Compilation'!K57</f>
        <v>1.5390626886123027E-3</v>
      </c>
      <c r="G88" s="110"/>
    </row>
    <row r="89" spans="1:7" x14ac:dyDescent="0.25">
      <c r="A89" s="165"/>
      <c r="B89" s="161"/>
      <c r="C89" s="40" t="s">
        <v>289</v>
      </c>
      <c r="D89" s="14"/>
      <c r="F89" s="115"/>
      <c r="G89" s="110"/>
    </row>
    <row r="90" spans="1:7" x14ac:dyDescent="0.25">
      <c r="A90" s="165"/>
      <c r="B90" s="161"/>
      <c r="C90" s="40" t="s">
        <v>290</v>
      </c>
      <c r="D90" s="14">
        <f>SUM(F90:G90)</f>
        <v>1.6712611786007022E-3</v>
      </c>
      <c r="F90" s="115">
        <f>'CRM -North Sea Compilation'!G58+'CRM -North Sea Compilation'!K58</f>
        <v>1.6712611786007022E-3</v>
      </c>
      <c r="G90" s="110"/>
    </row>
    <row r="91" spans="1:7" x14ac:dyDescent="0.25">
      <c r="A91" s="165"/>
      <c r="B91" s="162"/>
      <c r="C91" s="38" t="s">
        <v>291</v>
      </c>
      <c r="D91" s="15"/>
      <c r="F91" s="115"/>
      <c r="G91" s="110"/>
    </row>
    <row r="92" spans="1:7" x14ac:dyDescent="0.25">
      <c r="A92" s="165"/>
      <c r="B92" s="160" t="s">
        <v>52</v>
      </c>
      <c r="C92" s="39" t="s">
        <v>42</v>
      </c>
      <c r="D92" s="17" t="s">
        <v>53</v>
      </c>
      <c r="F92" s="115"/>
      <c r="G92" s="110"/>
    </row>
    <row r="93" spans="1:7" x14ac:dyDescent="0.25">
      <c r="A93" s="165"/>
      <c r="B93" s="161"/>
      <c r="C93" s="40" t="s">
        <v>286</v>
      </c>
      <c r="D93" s="14">
        <f>SUM(F93:G93)</f>
        <v>0</v>
      </c>
      <c r="F93" s="115"/>
      <c r="G93" s="110"/>
    </row>
    <row r="94" spans="1:7" x14ac:dyDescent="0.25">
      <c r="A94" s="165"/>
      <c r="B94" s="161"/>
      <c r="C94" s="40" t="s">
        <v>287</v>
      </c>
      <c r="D94" s="14"/>
      <c r="F94" s="115"/>
      <c r="G94" s="110"/>
    </row>
    <row r="95" spans="1:7" x14ac:dyDescent="0.25">
      <c r="A95" s="165"/>
      <c r="B95" s="161"/>
      <c r="C95" s="40" t="s">
        <v>288</v>
      </c>
      <c r="D95" s="14">
        <f>SUM(F95:G95)</f>
        <v>2.7933992137415789E-3</v>
      </c>
      <c r="F95" s="115">
        <f>F67+'CRM -Pentland, Moray Firth &amp; BB'!$G$66</f>
        <v>2.7933992137415789E-3</v>
      </c>
      <c r="G95" s="110"/>
    </row>
    <row r="96" spans="1:7" x14ac:dyDescent="0.25">
      <c r="A96" s="165"/>
      <c r="B96" s="161"/>
      <c r="C96" s="40" t="s">
        <v>289</v>
      </c>
      <c r="D96" s="14"/>
      <c r="F96" s="115"/>
      <c r="G96" s="110"/>
    </row>
    <row r="97" spans="1:7" x14ac:dyDescent="0.25">
      <c r="A97" s="165"/>
      <c r="B97" s="161"/>
      <c r="C97" s="40" t="s">
        <v>290</v>
      </c>
      <c r="D97" s="14">
        <f>SUM(F97:G97)</f>
        <v>2.8549413391076696E-3</v>
      </c>
      <c r="F97" s="115">
        <f>F69+'CRM -Pentland, Moray Firth &amp; BB'!$G$67</f>
        <v>2.8549413391076696E-3</v>
      </c>
      <c r="G97" s="110"/>
    </row>
    <row r="98" spans="1:7" x14ac:dyDescent="0.25">
      <c r="A98" s="165"/>
      <c r="B98" s="162"/>
      <c r="C98" s="38" t="s">
        <v>291</v>
      </c>
      <c r="D98" s="15"/>
      <c r="F98" s="115"/>
      <c r="G98" s="110"/>
    </row>
    <row r="99" spans="1:7" x14ac:dyDescent="0.25">
      <c r="A99" s="165"/>
      <c r="B99" s="160" t="s">
        <v>54</v>
      </c>
      <c r="C99" s="39" t="s">
        <v>42</v>
      </c>
      <c r="D99" s="17" t="s">
        <v>55</v>
      </c>
      <c r="F99" s="115"/>
      <c r="G99" s="110"/>
    </row>
    <row r="100" spans="1:7" x14ac:dyDescent="0.25">
      <c r="A100" s="165"/>
      <c r="B100" s="161"/>
      <c r="C100" s="40" t="s">
        <v>286</v>
      </c>
      <c r="D100" s="14">
        <f>SUM(F100:G100)</f>
        <v>0</v>
      </c>
      <c r="F100" s="115"/>
      <c r="G100" s="110"/>
    </row>
    <row r="101" spans="1:7" x14ac:dyDescent="0.25">
      <c r="A101" s="165"/>
      <c r="B101" s="161"/>
      <c r="C101" s="40" t="s">
        <v>287</v>
      </c>
      <c r="D101" s="14"/>
      <c r="F101" s="115"/>
      <c r="G101" s="110"/>
    </row>
    <row r="102" spans="1:7" x14ac:dyDescent="0.25">
      <c r="A102" s="165"/>
      <c r="B102" s="161"/>
      <c r="C102" s="40" t="s">
        <v>288</v>
      </c>
      <c r="D102" s="14">
        <f>SUM(F102:G102)</f>
        <v>2.4365210185472164E-3</v>
      </c>
      <c r="F102" s="115">
        <f>F74+'CRM -Pentland, Moray Firth &amp; BB'!$G$66</f>
        <v>2.4365210185472164E-3</v>
      </c>
      <c r="G102" s="110"/>
    </row>
    <row r="103" spans="1:7" x14ac:dyDescent="0.25">
      <c r="A103" s="165"/>
      <c r="B103" s="161"/>
      <c r="C103" s="40" t="s">
        <v>289</v>
      </c>
      <c r="D103" s="14"/>
      <c r="F103" s="115"/>
      <c r="G103" s="110"/>
    </row>
    <row r="104" spans="1:7" x14ac:dyDescent="0.25">
      <c r="A104" s="165"/>
      <c r="B104" s="161"/>
      <c r="C104" s="40" t="s">
        <v>290</v>
      </c>
      <c r="D104" s="14">
        <f>SUM(F104:G104)</f>
        <v>2.5191959971128325E-3</v>
      </c>
      <c r="F104" s="115">
        <f>F76+'CRM -Pentland, Moray Firth &amp; BB'!$G$67</f>
        <v>2.5191959971128325E-3</v>
      </c>
      <c r="G104" s="110"/>
    </row>
    <row r="105" spans="1:7" x14ac:dyDescent="0.25">
      <c r="A105" s="165"/>
      <c r="B105" s="162"/>
      <c r="C105" s="38" t="s">
        <v>291</v>
      </c>
      <c r="D105" s="15"/>
      <c r="F105" s="115"/>
      <c r="G105" s="110"/>
    </row>
    <row r="106" spans="1:7" x14ac:dyDescent="0.25">
      <c r="A106" s="165"/>
      <c r="B106" s="160" t="s">
        <v>56</v>
      </c>
      <c r="C106" s="39" t="s">
        <v>42</v>
      </c>
      <c r="D106" s="17" t="s">
        <v>57</v>
      </c>
      <c r="F106" s="115"/>
      <c r="G106" s="110"/>
    </row>
    <row r="107" spans="1:7" x14ac:dyDescent="0.25">
      <c r="A107" s="165"/>
      <c r="B107" s="161"/>
      <c r="C107" s="40" t="s">
        <v>286</v>
      </c>
      <c r="D107" s="14">
        <f>SUM(F107:G107)</f>
        <v>0</v>
      </c>
      <c r="F107" s="115"/>
      <c r="G107" s="110"/>
    </row>
    <row r="108" spans="1:7" x14ac:dyDescent="0.25">
      <c r="A108" s="165"/>
      <c r="B108" s="161"/>
      <c r="C108" s="40" t="s">
        <v>287</v>
      </c>
      <c r="D108" s="14"/>
      <c r="F108" s="115"/>
      <c r="G108" s="110"/>
    </row>
    <row r="109" spans="1:7" x14ac:dyDescent="0.25">
      <c r="A109" s="165"/>
      <c r="B109" s="161"/>
      <c r="C109" s="40" t="s">
        <v>288</v>
      </c>
      <c r="D109" s="14">
        <f>SUM(F109:G109)</f>
        <v>2.088525520773861E-3</v>
      </c>
      <c r="F109" s="115">
        <f>F81+'CRM -Pentland, Moray Firth &amp; BB'!$G$66</f>
        <v>2.088525520773861E-3</v>
      </c>
      <c r="G109" s="110"/>
    </row>
    <row r="110" spans="1:7" x14ac:dyDescent="0.25">
      <c r="A110" s="165"/>
      <c r="B110" s="161"/>
      <c r="C110" s="40" t="s">
        <v>289</v>
      </c>
      <c r="D110" s="14"/>
      <c r="F110" s="115"/>
      <c r="G110" s="110"/>
    </row>
    <row r="111" spans="1:7" x14ac:dyDescent="0.25">
      <c r="A111" s="165"/>
      <c r="B111" s="161"/>
      <c r="C111" s="40" t="s">
        <v>290</v>
      </c>
      <c r="D111" s="14">
        <f>SUM(F111:G111)</f>
        <v>2.1327382831137377E-3</v>
      </c>
      <c r="F111" s="115">
        <f>F83+'CRM -Pentland, Moray Firth &amp; BB'!$G$67</f>
        <v>2.1327382831137377E-3</v>
      </c>
      <c r="G111" s="110"/>
    </row>
    <row r="112" spans="1:7" x14ac:dyDescent="0.25">
      <c r="A112" s="165"/>
      <c r="B112" s="162"/>
      <c r="C112" s="38" t="s">
        <v>291</v>
      </c>
      <c r="D112" s="15"/>
      <c r="F112" s="115"/>
      <c r="G112" s="110"/>
    </row>
    <row r="113" spans="1:7" x14ac:dyDescent="0.25">
      <c r="A113" s="165"/>
      <c r="B113" s="160" t="s">
        <v>58</v>
      </c>
      <c r="C113" s="39" t="s">
        <v>42</v>
      </c>
      <c r="D113" s="17" t="s">
        <v>59</v>
      </c>
      <c r="F113" s="115"/>
      <c r="G113" s="110"/>
    </row>
    <row r="114" spans="1:7" x14ac:dyDescent="0.25">
      <c r="A114" s="165"/>
      <c r="B114" s="161"/>
      <c r="C114" s="40" t="s">
        <v>286</v>
      </c>
      <c r="D114" s="14">
        <f>SUM(F114:G114)</f>
        <v>0</v>
      </c>
      <c r="F114" s="115"/>
      <c r="G114" s="110"/>
    </row>
    <row r="115" spans="1:7" x14ac:dyDescent="0.25">
      <c r="A115" s="165"/>
      <c r="B115" s="161"/>
      <c r="C115" s="40" t="s">
        <v>287</v>
      </c>
      <c r="D115" s="14"/>
      <c r="F115" s="115"/>
      <c r="G115" s="110"/>
    </row>
    <row r="116" spans="1:7" x14ac:dyDescent="0.25">
      <c r="A116" s="165"/>
      <c r="B116" s="161"/>
      <c r="C116" s="40" t="s">
        <v>288</v>
      </c>
      <c r="D116" s="14">
        <f>SUM(F116:G116)</f>
        <v>1.9514405494021499E-3</v>
      </c>
      <c r="F116" s="115">
        <f>F88+'CRM -Pentland, Moray Firth &amp; BB'!$G$66</f>
        <v>1.9514405494021499E-3</v>
      </c>
      <c r="G116" s="110"/>
    </row>
    <row r="117" spans="1:7" x14ac:dyDescent="0.25">
      <c r="A117" s="165"/>
      <c r="B117" s="161"/>
      <c r="C117" s="40" t="s">
        <v>289</v>
      </c>
      <c r="D117" s="14"/>
      <c r="F117" s="115"/>
      <c r="G117" s="110"/>
    </row>
    <row r="118" spans="1:7" x14ac:dyDescent="0.25">
      <c r="A118" s="165"/>
      <c r="B118" s="161"/>
      <c r="C118" s="40" t="s">
        <v>290</v>
      </c>
      <c r="D118" s="14">
        <f>SUM(F118:G118)</f>
        <v>1.9805307006275918E-3</v>
      </c>
      <c r="F118" s="115">
        <f>F90+'CRM -Pentland, Moray Firth &amp; BB'!$G$67</f>
        <v>1.9805307006275918E-3</v>
      </c>
      <c r="G118" s="110"/>
    </row>
    <row r="119" spans="1:7" x14ac:dyDescent="0.25">
      <c r="A119" s="165"/>
      <c r="B119" s="162"/>
      <c r="C119" s="38" t="s">
        <v>291</v>
      </c>
      <c r="D119" s="15"/>
      <c r="F119" s="115"/>
      <c r="G119" s="110"/>
    </row>
    <row r="120" spans="1:7" x14ac:dyDescent="0.25">
      <c r="A120" s="165"/>
      <c r="B120" s="160" t="s">
        <v>229</v>
      </c>
      <c r="C120" s="39" t="s">
        <v>42</v>
      </c>
      <c r="D120" s="17" t="s">
        <v>60</v>
      </c>
      <c r="F120" s="115"/>
      <c r="G120" s="110"/>
    </row>
    <row r="121" spans="1:7" x14ac:dyDescent="0.25">
      <c r="A121" s="165"/>
      <c r="B121" s="161"/>
      <c r="C121" s="40" t="s">
        <v>286</v>
      </c>
      <c r="D121" s="14">
        <f>SUM(F121:G121)</f>
        <v>3.8743082720258397E-3</v>
      </c>
      <c r="F121" s="115">
        <f>$F$58+F65</f>
        <v>0</v>
      </c>
      <c r="G121" s="110">
        <f>$G$58+G65</f>
        <v>3.8743082720258397E-3</v>
      </c>
    </row>
    <row r="122" spans="1:7" x14ac:dyDescent="0.25">
      <c r="A122" s="165"/>
      <c r="B122" s="161"/>
      <c r="C122" s="40" t="s">
        <v>287</v>
      </c>
      <c r="D122" s="14"/>
      <c r="F122" s="115"/>
      <c r="G122" s="110"/>
    </row>
    <row r="123" spans="1:7" x14ac:dyDescent="0.25">
      <c r="A123" s="165"/>
      <c r="B123" s="161"/>
      <c r="C123" s="40" t="s">
        <v>288</v>
      </c>
      <c r="D123" s="14">
        <f>SUM(F123:G123)</f>
        <v>3.3224781069994395E-3</v>
      </c>
      <c r="F123" s="115">
        <f>$F$60+F67</f>
        <v>2.8753114104266781E-3</v>
      </c>
      <c r="G123" s="110">
        <f>$G$60+G67</f>
        <v>4.4716669657276153E-4</v>
      </c>
    </row>
    <row r="124" spans="1:7" x14ac:dyDescent="0.25">
      <c r="A124" s="165"/>
      <c r="B124" s="161"/>
      <c r="C124" s="40" t="s">
        <v>289</v>
      </c>
      <c r="D124" s="14"/>
      <c r="F124" s="115"/>
      <c r="G124" s="110"/>
    </row>
    <row r="125" spans="1:7" x14ac:dyDescent="0.25">
      <c r="A125" s="165"/>
      <c r="B125" s="161"/>
      <c r="C125" s="40" t="s">
        <v>290</v>
      </c>
      <c r="D125" s="14">
        <f>SUM(F125:G125)</f>
        <v>2.6611576101796416E-3</v>
      </c>
      <c r="F125" s="115">
        <f>$F$62+F69</f>
        <v>2.6611576101796416E-3</v>
      </c>
      <c r="G125" s="110">
        <f>$G$62+G69</f>
        <v>0</v>
      </c>
    </row>
    <row r="126" spans="1:7" x14ac:dyDescent="0.25">
      <c r="A126" s="165"/>
      <c r="B126" s="162"/>
      <c r="C126" s="38" t="s">
        <v>291</v>
      </c>
      <c r="D126" s="15"/>
      <c r="F126" s="115"/>
      <c r="G126" s="110"/>
    </row>
    <row r="127" spans="1:7" x14ac:dyDescent="0.25">
      <c r="A127" s="165"/>
      <c r="B127" s="160" t="s">
        <v>228</v>
      </c>
      <c r="C127" s="39" t="s">
        <v>42</v>
      </c>
      <c r="D127" s="17" t="s">
        <v>61</v>
      </c>
      <c r="F127" s="115"/>
      <c r="G127" s="110"/>
    </row>
    <row r="128" spans="1:7" x14ac:dyDescent="0.25">
      <c r="A128" s="165"/>
      <c r="B128" s="161"/>
      <c r="C128" s="40" t="s">
        <v>286</v>
      </c>
      <c r="D128" s="14">
        <f>SUM(F128:G128)</f>
        <v>3.8743082720258397E-3</v>
      </c>
      <c r="F128" s="115">
        <f>$F$58+F72</f>
        <v>0</v>
      </c>
      <c r="G128" s="110">
        <f>$G$58+G72</f>
        <v>3.8743082720258397E-3</v>
      </c>
    </row>
    <row r="129" spans="1:7" x14ac:dyDescent="0.25">
      <c r="A129" s="165"/>
      <c r="B129" s="161"/>
      <c r="C129" s="40" t="s">
        <v>287</v>
      </c>
      <c r="D129" s="14"/>
      <c r="F129" s="115"/>
      <c r="G129" s="110"/>
    </row>
    <row r="130" spans="1:7" x14ac:dyDescent="0.25">
      <c r="A130" s="165"/>
      <c r="B130" s="161"/>
      <c r="C130" s="40" t="s">
        <v>288</v>
      </c>
      <c r="D130" s="14">
        <f>SUM(F130:G130)</f>
        <v>2.9655999118050769E-3</v>
      </c>
      <c r="F130" s="115">
        <f>$F$60+F74</f>
        <v>2.5184332152323155E-3</v>
      </c>
      <c r="G130" s="110">
        <f>$G$60+G74</f>
        <v>4.4716669657276153E-4</v>
      </c>
    </row>
    <row r="131" spans="1:7" x14ac:dyDescent="0.25">
      <c r="A131" s="165"/>
      <c r="B131" s="161"/>
      <c r="C131" s="40" t="s">
        <v>289</v>
      </c>
      <c r="D131" s="14"/>
      <c r="F131" s="115"/>
      <c r="G131" s="110"/>
    </row>
    <row r="132" spans="1:7" x14ac:dyDescent="0.25">
      <c r="A132" s="165"/>
      <c r="B132" s="161"/>
      <c r="C132" s="40" t="s">
        <v>290</v>
      </c>
      <c r="D132" s="14">
        <f>SUM(F132:G132)</f>
        <v>2.3254122681848045E-3</v>
      </c>
      <c r="F132" s="115">
        <f>$F$62+F76</f>
        <v>2.3254122681848045E-3</v>
      </c>
      <c r="G132" s="110">
        <f>$G$62+G76</f>
        <v>0</v>
      </c>
    </row>
    <row r="133" spans="1:7" x14ac:dyDescent="0.25">
      <c r="A133" s="165"/>
      <c r="B133" s="162"/>
      <c r="C133" s="38" t="s">
        <v>291</v>
      </c>
      <c r="D133" s="15"/>
      <c r="F133" s="115"/>
      <c r="G133" s="110"/>
    </row>
    <row r="134" spans="1:7" x14ac:dyDescent="0.25">
      <c r="A134" s="165"/>
      <c r="B134" s="160" t="s">
        <v>227</v>
      </c>
      <c r="C134" s="39" t="s">
        <v>42</v>
      </c>
      <c r="D134" s="17" t="s">
        <v>62</v>
      </c>
      <c r="F134" s="115"/>
      <c r="G134" s="110"/>
    </row>
    <row r="135" spans="1:7" x14ac:dyDescent="0.25">
      <c r="A135" s="165"/>
      <c r="B135" s="161"/>
      <c r="C135" s="40" t="s">
        <v>286</v>
      </c>
      <c r="D135" s="14">
        <f>SUM(F135:G135)</f>
        <v>3.8743082720258397E-3</v>
      </c>
      <c r="F135" s="115">
        <f>$F$58+F79</f>
        <v>0</v>
      </c>
      <c r="G135" s="110">
        <f>$G$58+G79</f>
        <v>3.8743082720258397E-3</v>
      </c>
    </row>
    <row r="136" spans="1:7" x14ac:dyDescent="0.25">
      <c r="A136" s="165"/>
      <c r="B136" s="161"/>
      <c r="C136" s="40" t="s">
        <v>287</v>
      </c>
      <c r="D136" s="14"/>
      <c r="F136" s="115"/>
      <c r="G136" s="110"/>
    </row>
    <row r="137" spans="1:7" x14ac:dyDescent="0.25">
      <c r="A137" s="165"/>
      <c r="B137" s="161"/>
      <c r="C137" s="40" t="s">
        <v>288</v>
      </c>
      <c r="D137" s="14">
        <f>SUM(F137:G137)</f>
        <v>2.6176044140317216E-3</v>
      </c>
      <c r="F137" s="115">
        <f>$F$60+F81</f>
        <v>2.1704377174589602E-3</v>
      </c>
      <c r="G137" s="110">
        <f>$G$60+G81</f>
        <v>4.4716669657276153E-4</v>
      </c>
    </row>
    <row r="138" spans="1:7" x14ac:dyDescent="0.25">
      <c r="A138" s="165"/>
      <c r="B138" s="161"/>
      <c r="C138" s="40" t="s">
        <v>289</v>
      </c>
      <c r="D138" s="14"/>
      <c r="F138" s="115"/>
      <c r="G138" s="110"/>
    </row>
    <row r="139" spans="1:7" x14ac:dyDescent="0.25">
      <c r="A139" s="165"/>
      <c r="B139" s="161"/>
      <c r="C139" s="40" t="s">
        <v>290</v>
      </c>
      <c r="D139" s="14">
        <f>SUM(F139:G139)</f>
        <v>1.9389545541857094E-3</v>
      </c>
      <c r="F139" s="115">
        <f>$F$62+F83</f>
        <v>1.9389545541857094E-3</v>
      </c>
      <c r="G139" s="110">
        <f>$G$62+G83</f>
        <v>0</v>
      </c>
    </row>
    <row r="140" spans="1:7" x14ac:dyDescent="0.25">
      <c r="A140" s="165"/>
      <c r="B140" s="162"/>
      <c r="C140" s="38" t="s">
        <v>291</v>
      </c>
      <c r="D140" s="15"/>
      <c r="F140" s="115"/>
      <c r="G140" s="110"/>
    </row>
    <row r="141" spans="1:7" x14ac:dyDescent="0.25">
      <c r="A141" s="165"/>
      <c r="B141" s="160" t="s">
        <v>226</v>
      </c>
      <c r="C141" s="39" t="s">
        <v>42</v>
      </c>
      <c r="D141" s="17" t="s">
        <v>63</v>
      </c>
      <c r="F141" s="115"/>
      <c r="G141" s="110"/>
    </row>
    <row r="142" spans="1:7" x14ac:dyDescent="0.25">
      <c r="A142" s="165"/>
      <c r="B142" s="161"/>
      <c r="C142" s="40" t="s">
        <v>286</v>
      </c>
      <c r="D142" s="14">
        <f>SUM(F142:G142)</f>
        <v>3.8743082720258397E-3</v>
      </c>
      <c r="F142" s="115">
        <f>$F$58+F86</f>
        <v>0</v>
      </c>
      <c r="G142" s="110">
        <f>$G$58+G86</f>
        <v>3.8743082720258397E-3</v>
      </c>
    </row>
    <row r="143" spans="1:7" x14ac:dyDescent="0.25">
      <c r="A143" s="165"/>
      <c r="B143" s="161"/>
      <c r="C143" s="40" t="s">
        <v>287</v>
      </c>
      <c r="D143" s="14"/>
      <c r="F143" s="115"/>
      <c r="G143" s="110"/>
    </row>
    <row r="144" spans="1:7" x14ac:dyDescent="0.25">
      <c r="A144" s="165"/>
      <c r="B144" s="161"/>
      <c r="C144" s="40" t="s">
        <v>288</v>
      </c>
      <c r="D144" s="14">
        <f>SUM(F144:G144)</f>
        <v>2.4805194426600102E-3</v>
      </c>
      <c r="F144" s="115">
        <f>$F$60+F88</f>
        <v>2.0333527460872488E-3</v>
      </c>
      <c r="G144" s="110">
        <f>$G$60+G88</f>
        <v>4.4716669657276153E-4</v>
      </c>
    </row>
    <row r="145" spans="1:7" x14ac:dyDescent="0.25">
      <c r="A145" s="165"/>
      <c r="B145" s="161"/>
      <c r="C145" s="40" t="s">
        <v>289</v>
      </c>
      <c r="D145" s="14"/>
      <c r="F145" s="115"/>
      <c r="G145" s="110"/>
    </row>
    <row r="146" spans="1:7" x14ac:dyDescent="0.25">
      <c r="A146" s="165"/>
      <c r="B146" s="161"/>
      <c r="C146" s="40" t="s">
        <v>290</v>
      </c>
      <c r="D146" s="14">
        <f>SUM(F146:G146)</f>
        <v>1.786746971699564E-3</v>
      </c>
      <c r="F146" s="115">
        <f>$F$62+F90</f>
        <v>1.786746971699564E-3</v>
      </c>
      <c r="G146" s="110">
        <f>$G$62+G90</f>
        <v>0</v>
      </c>
    </row>
    <row r="147" spans="1:7" x14ac:dyDescent="0.25">
      <c r="A147" s="165"/>
      <c r="B147" s="162"/>
      <c r="C147" s="38" t="s">
        <v>291</v>
      </c>
      <c r="D147" s="15"/>
      <c r="F147" s="115"/>
      <c r="G147" s="110"/>
    </row>
    <row r="148" spans="1:7" x14ac:dyDescent="0.25">
      <c r="A148" s="165"/>
      <c r="B148" s="160" t="s">
        <v>230</v>
      </c>
      <c r="C148" s="39" t="s">
        <v>42</v>
      </c>
      <c r="D148" s="17" t="s">
        <v>64</v>
      </c>
      <c r="F148" s="115"/>
      <c r="G148" s="110"/>
    </row>
    <row r="149" spans="1:7" x14ac:dyDescent="0.25">
      <c r="A149" s="165"/>
      <c r="B149" s="161"/>
      <c r="C149" s="40" t="s">
        <v>286</v>
      </c>
      <c r="D149" s="14">
        <f>SUM(F149:G149)</f>
        <v>3.8743082720258397E-3</v>
      </c>
      <c r="F149" s="115">
        <f>$F$58+F93</f>
        <v>0</v>
      </c>
      <c r="G149" s="110">
        <f>$G$58+G93</f>
        <v>3.8743082720258397E-3</v>
      </c>
    </row>
    <row r="150" spans="1:7" x14ac:dyDescent="0.25">
      <c r="A150" s="165"/>
      <c r="B150" s="161"/>
      <c r="C150" s="40" t="s">
        <v>287</v>
      </c>
      <c r="D150" s="14"/>
      <c r="F150" s="115"/>
      <c r="G150" s="110"/>
    </row>
    <row r="151" spans="1:7" x14ac:dyDescent="0.25">
      <c r="A151" s="165"/>
      <c r="B151" s="161"/>
      <c r="C151" s="40" t="s">
        <v>288</v>
      </c>
      <c r="D151" s="14">
        <f>SUM(F151:G151)</f>
        <v>3.7348559677892867E-3</v>
      </c>
      <c r="F151" s="115">
        <f>$F$60+F95</f>
        <v>3.2876892712165253E-3</v>
      </c>
      <c r="G151" s="110">
        <f>$G$60+G95</f>
        <v>4.4716669657276153E-4</v>
      </c>
    </row>
    <row r="152" spans="1:7" x14ac:dyDescent="0.25">
      <c r="A152" s="165"/>
      <c r="B152" s="161"/>
      <c r="C152" s="40" t="s">
        <v>289</v>
      </c>
      <c r="D152" s="14"/>
      <c r="F152" s="115"/>
      <c r="G152" s="110"/>
    </row>
    <row r="153" spans="1:7" x14ac:dyDescent="0.25">
      <c r="A153" s="165"/>
      <c r="B153" s="161"/>
      <c r="C153" s="40" t="s">
        <v>290</v>
      </c>
      <c r="D153" s="14">
        <f>SUM(F153:G153)</f>
        <v>2.9704271322065316E-3</v>
      </c>
      <c r="F153" s="115">
        <f>$F$62+F97</f>
        <v>2.9704271322065316E-3</v>
      </c>
      <c r="G153" s="110">
        <f>$G$62+G97</f>
        <v>0</v>
      </c>
    </row>
    <row r="154" spans="1:7" x14ac:dyDescent="0.25">
      <c r="A154" s="165"/>
      <c r="B154" s="162"/>
      <c r="C154" s="38" t="s">
        <v>291</v>
      </c>
      <c r="D154" s="15"/>
      <c r="F154" s="115"/>
      <c r="G154" s="110"/>
    </row>
    <row r="155" spans="1:7" x14ac:dyDescent="0.25">
      <c r="A155" s="165"/>
      <c r="B155" s="160" t="s">
        <v>231</v>
      </c>
      <c r="C155" s="39" t="s">
        <v>42</v>
      </c>
      <c r="D155" s="17" t="s">
        <v>65</v>
      </c>
      <c r="F155" s="115"/>
      <c r="G155" s="110"/>
    </row>
    <row r="156" spans="1:7" x14ac:dyDescent="0.25">
      <c r="A156" s="165"/>
      <c r="B156" s="161"/>
      <c r="C156" s="40" t="s">
        <v>286</v>
      </c>
      <c r="D156" s="14">
        <f>SUM(F156:G156)</f>
        <v>3.8743082720258397E-3</v>
      </c>
      <c r="F156" s="115">
        <f>$F$58+F100</f>
        <v>0</v>
      </c>
      <c r="G156" s="110">
        <f>$G$58+G100</f>
        <v>3.8743082720258397E-3</v>
      </c>
    </row>
    <row r="157" spans="1:7" x14ac:dyDescent="0.25">
      <c r="A157" s="165"/>
      <c r="B157" s="161"/>
      <c r="C157" s="40" t="s">
        <v>287</v>
      </c>
      <c r="D157" s="14"/>
      <c r="F157" s="115"/>
      <c r="G157" s="110"/>
    </row>
    <row r="158" spans="1:7" x14ac:dyDescent="0.25">
      <c r="A158" s="165"/>
      <c r="B158" s="161"/>
      <c r="C158" s="40" t="s">
        <v>288</v>
      </c>
      <c r="D158" s="14">
        <f>SUM(F158:G158)</f>
        <v>3.3779777725949241E-3</v>
      </c>
      <c r="F158" s="115">
        <f>$F$60+F102</f>
        <v>2.9308110760221627E-3</v>
      </c>
      <c r="G158" s="110">
        <f>$G$60+G102</f>
        <v>4.4716669657276153E-4</v>
      </c>
    </row>
    <row r="159" spans="1:7" x14ac:dyDescent="0.25">
      <c r="A159" s="165"/>
      <c r="B159" s="161"/>
      <c r="C159" s="40" t="s">
        <v>289</v>
      </c>
      <c r="D159" s="14"/>
      <c r="F159" s="115"/>
      <c r="G159" s="110"/>
    </row>
    <row r="160" spans="1:7" x14ac:dyDescent="0.25">
      <c r="A160" s="165"/>
      <c r="B160" s="161"/>
      <c r="C160" s="40" t="s">
        <v>290</v>
      </c>
      <c r="D160" s="14">
        <f>SUM(F160:G160)</f>
        <v>2.6346817902116945E-3</v>
      </c>
      <c r="F160" s="115">
        <f>$F$62+F104</f>
        <v>2.6346817902116945E-3</v>
      </c>
      <c r="G160" s="110">
        <f>$G$62+G104</f>
        <v>0</v>
      </c>
    </row>
    <row r="161" spans="1:7" x14ac:dyDescent="0.25">
      <c r="A161" s="165"/>
      <c r="B161" s="162"/>
      <c r="C161" s="38" t="s">
        <v>291</v>
      </c>
      <c r="D161" s="15"/>
      <c r="F161" s="115"/>
      <c r="G161" s="110"/>
    </row>
    <row r="162" spans="1:7" x14ac:dyDescent="0.25">
      <c r="A162" s="165"/>
      <c r="B162" s="160" t="s">
        <v>232</v>
      </c>
      <c r="C162" s="39" t="s">
        <v>42</v>
      </c>
      <c r="D162" s="17" t="s">
        <v>66</v>
      </c>
      <c r="F162" s="115"/>
      <c r="G162" s="110"/>
    </row>
    <row r="163" spans="1:7" x14ac:dyDescent="0.25">
      <c r="A163" s="165"/>
      <c r="B163" s="161"/>
      <c r="C163" s="40" t="s">
        <v>286</v>
      </c>
      <c r="D163" s="14">
        <f>SUM(F163:G163)</f>
        <v>3.8743082720258397E-3</v>
      </c>
      <c r="F163" s="115">
        <f>$F$58+F107</f>
        <v>0</v>
      </c>
      <c r="G163" s="110">
        <f>$G$58+G107</f>
        <v>3.8743082720258397E-3</v>
      </c>
    </row>
    <row r="164" spans="1:7" x14ac:dyDescent="0.25">
      <c r="A164" s="165"/>
      <c r="B164" s="161"/>
      <c r="C164" s="40" t="s">
        <v>287</v>
      </c>
      <c r="D164" s="14"/>
      <c r="F164" s="115"/>
      <c r="G164" s="110"/>
    </row>
    <row r="165" spans="1:7" x14ac:dyDescent="0.25">
      <c r="A165" s="165"/>
      <c r="B165" s="161"/>
      <c r="C165" s="40" t="s">
        <v>288</v>
      </c>
      <c r="D165" s="14">
        <f>SUM(F165:G165)</f>
        <v>3.0299822748215688E-3</v>
      </c>
      <c r="F165" s="115">
        <f>$F$60+F109</f>
        <v>2.5828155782488074E-3</v>
      </c>
      <c r="G165" s="110">
        <f>$G$60+G109</f>
        <v>4.4716669657276153E-4</v>
      </c>
    </row>
    <row r="166" spans="1:7" x14ac:dyDescent="0.25">
      <c r="A166" s="165"/>
      <c r="B166" s="161"/>
      <c r="C166" s="40" t="s">
        <v>289</v>
      </c>
      <c r="D166" s="14"/>
      <c r="F166" s="115"/>
      <c r="G166" s="110"/>
    </row>
    <row r="167" spans="1:7" x14ac:dyDescent="0.25">
      <c r="A167" s="165"/>
      <c r="B167" s="161"/>
      <c r="C167" s="40" t="s">
        <v>290</v>
      </c>
      <c r="D167" s="14">
        <f>SUM(F167:G167)</f>
        <v>2.2482240762125997E-3</v>
      </c>
      <c r="F167" s="115">
        <f>$F$62+F111</f>
        <v>2.2482240762125997E-3</v>
      </c>
      <c r="G167" s="110">
        <f>$G$62+G111</f>
        <v>0</v>
      </c>
    </row>
    <row r="168" spans="1:7" x14ac:dyDescent="0.25">
      <c r="A168" s="165"/>
      <c r="B168" s="162"/>
      <c r="C168" s="38" t="s">
        <v>291</v>
      </c>
      <c r="D168" s="15"/>
      <c r="F168" s="115"/>
      <c r="G168" s="110"/>
    </row>
    <row r="169" spans="1:7" x14ac:dyDescent="0.25">
      <c r="A169" s="165"/>
      <c r="B169" s="160" t="s">
        <v>233</v>
      </c>
      <c r="C169" s="39" t="s">
        <v>42</v>
      </c>
      <c r="D169" s="17" t="s">
        <v>67</v>
      </c>
      <c r="F169" s="115"/>
      <c r="G169" s="110"/>
    </row>
    <row r="170" spans="1:7" x14ac:dyDescent="0.25">
      <c r="A170" s="165"/>
      <c r="B170" s="161"/>
      <c r="C170" s="40" t="s">
        <v>286</v>
      </c>
      <c r="D170" s="14">
        <f>SUM(F170:G170)</f>
        <v>3.8743082720258397E-3</v>
      </c>
      <c r="F170" s="115">
        <f>$F$58+F114</f>
        <v>0</v>
      </c>
      <c r="G170" s="110">
        <f>$G$58+G114</f>
        <v>3.8743082720258397E-3</v>
      </c>
    </row>
    <row r="171" spans="1:7" x14ac:dyDescent="0.25">
      <c r="A171" s="165"/>
      <c r="B171" s="161"/>
      <c r="C171" s="40" t="s">
        <v>287</v>
      </c>
      <c r="D171" s="14"/>
      <c r="F171" s="115"/>
      <c r="G171" s="110"/>
    </row>
    <row r="172" spans="1:7" x14ac:dyDescent="0.25">
      <c r="A172" s="165"/>
      <c r="B172" s="161"/>
      <c r="C172" s="40" t="s">
        <v>288</v>
      </c>
      <c r="D172" s="14">
        <f>SUM(F172:G172)</f>
        <v>2.8928973034498579E-3</v>
      </c>
      <c r="F172" s="115">
        <f>$F$60+F116</f>
        <v>2.4457306068770964E-3</v>
      </c>
      <c r="G172" s="110">
        <f>$G$60+G116</f>
        <v>4.4716669657276153E-4</v>
      </c>
    </row>
    <row r="173" spans="1:7" x14ac:dyDescent="0.25">
      <c r="A173" s="165"/>
      <c r="B173" s="161"/>
      <c r="C173" s="40" t="s">
        <v>289</v>
      </c>
      <c r="D173" s="14"/>
      <c r="F173" s="115"/>
      <c r="G173" s="110"/>
    </row>
    <row r="174" spans="1:7" x14ac:dyDescent="0.25">
      <c r="A174" s="165"/>
      <c r="B174" s="161"/>
      <c r="C174" s="40" t="s">
        <v>290</v>
      </c>
      <c r="D174" s="14">
        <f>SUM(F174:G174)</f>
        <v>2.0960164937264538E-3</v>
      </c>
      <c r="F174" s="115">
        <f>$F$62+F118</f>
        <v>2.0960164937264538E-3</v>
      </c>
      <c r="G174" s="110">
        <f>$G$62+G118</f>
        <v>0</v>
      </c>
    </row>
    <row r="175" spans="1:7" ht="15.75" thickBot="1" x14ac:dyDescent="0.3">
      <c r="A175" s="165"/>
      <c r="B175" s="162"/>
      <c r="C175" s="38" t="s">
        <v>291</v>
      </c>
      <c r="D175" s="15"/>
      <c r="F175" s="86"/>
      <c r="G175" s="25"/>
    </row>
    <row r="176" spans="1:7" x14ac:dyDescent="0.25">
      <c r="A176" s="164" t="s">
        <v>76</v>
      </c>
      <c r="B176" s="163" t="s">
        <v>68</v>
      </c>
      <c r="C176" s="42" t="s">
        <v>69</v>
      </c>
      <c r="D176" s="4">
        <v>2016</v>
      </c>
    </row>
    <row r="177" spans="1:4" x14ac:dyDescent="0.25">
      <c r="A177" s="165"/>
      <c r="B177" s="161"/>
      <c r="C177" s="40" t="s">
        <v>70</v>
      </c>
      <c r="D177" s="19">
        <v>2077</v>
      </c>
    </row>
    <row r="178" spans="1:4" x14ac:dyDescent="0.25">
      <c r="A178" s="165"/>
      <c r="B178" s="160" t="s">
        <v>71</v>
      </c>
      <c r="C178" s="39" t="s">
        <v>292</v>
      </c>
      <c r="D178" s="6" t="s">
        <v>26</v>
      </c>
    </row>
    <row r="179" spans="1:4" x14ac:dyDescent="0.25">
      <c r="A179" s="165"/>
      <c r="B179" s="162"/>
      <c r="C179" s="38" t="s">
        <v>293</v>
      </c>
      <c r="D179" s="5" t="s">
        <v>26</v>
      </c>
    </row>
    <row r="180" spans="1:4" x14ac:dyDescent="0.25">
      <c r="A180" s="165"/>
      <c r="B180" s="47" t="s">
        <v>72</v>
      </c>
      <c r="C180" s="11" t="s">
        <v>294</v>
      </c>
      <c r="D180" s="9" t="s">
        <v>73</v>
      </c>
    </row>
    <row r="181" spans="1:4" ht="15.75" thickBot="1" x14ac:dyDescent="0.3">
      <c r="A181" s="166"/>
      <c r="B181" s="49" t="s">
        <v>74</v>
      </c>
      <c r="C181" s="45" t="s">
        <v>75</v>
      </c>
      <c r="D181" s="8"/>
    </row>
  </sheetData>
  <mergeCells count="33">
    <mergeCell ref="A176:A181"/>
    <mergeCell ref="B176:B177"/>
    <mergeCell ref="B178:B179"/>
    <mergeCell ref="B92:B98"/>
    <mergeCell ref="B99:B105"/>
    <mergeCell ref="B106:B112"/>
    <mergeCell ref="B169:B175"/>
    <mergeCell ref="B120:B126"/>
    <mergeCell ref="B127:B133"/>
    <mergeCell ref="B134:B140"/>
    <mergeCell ref="B141:B147"/>
    <mergeCell ref="B148:B154"/>
    <mergeCell ref="B155:B161"/>
    <mergeCell ref="B162:B168"/>
    <mergeCell ref="B18:B19"/>
    <mergeCell ref="B22:B41"/>
    <mergeCell ref="A11:A41"/>
    <mergeCell ref="B43:B46"/>
    <mergeCell ref="A42:A175"/>
    <mergeCell ref="B16:B17"/>
    <mergeCell ref="B113:B119"/>
    <mergeCell ref="B48:B49"/>
    <mergeCell ref="B50:B56"/>
    <mergeCell ref="B57:B63"/>
    <mergeCell ref="B64:B70"/>
    <mergeCell ref="B71:B77"/>
    <mergeCell ref="B78:B84"/>
    <mergeCell ref="B85:B91"/>
    <mergeCell ref="B4:B6"/>
    <mergeCell ref="B7:B9"/>
    <mergeCell ref="B2:B3"/>
    <mergeCell ref="A2:A10"/>
    <mergeCell ref="B11:B14"/>
  </mergeCells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F009D6-9EF0-4368-B99B-FEA1B45B12A7}">
  <dimension ref="A1:D79"/>
  <sheetViews>
    <sheetView topLeftCell="A39" zoomScale="90" zoomScaleNormal="90" workbookViewId="0">
      <selection activeCell="D54" sqref="D54"/>
    </sheetView>
  </sheetViews>
  <sheetFormatPr defaultRowHeight="15" x14ac:dyDescent="0.25"/>
  <cols>
    <col min="1" max="1" width="28" bestFit="1" customWidth="1"/>
    <col min="2" max="2" width="61.7109375" customWidth="1"/>
    <col min="3" max="3" width="70.7109375" bestFit="1" customWidth="1"/>
    <col min="4" max="4" width="26.42578125" customWidth="1"/>
  </cols>
  <sheetData>
    <row r="1" spans="1:4" ht="15.75" thickBot="1" x14ac:dyDescent="0.3">
      <c r="A1" s="36" t="s">
        <v>37</v>
      </c>
      <c r="B1" s="36" t="s">
        <v>39</v>
      </c>
      <c r="C1" s="36" t="s">
        <v>40</v>
      </c>
      <c r="D1" s="36" t="s">
        <v>38</v>
      </c>
    </row>
    <row r="2" spans="1:4" x14ac:dyDescent="0.25">
      <c r="A2" s="164" t="s">
        <v>0</v>
      </c>
      <c r="B2" s="163" t="s">
        <v>1</v>
      </c>
      <c r="C2" s="37" t="s">
        <v>11</v>
      </c>
      <c r="D2" s="4" t="s">
        <v>148</v>
      </c>
    </row>
    <row r="3" spans="1:4" x14ac:dyDescent="0.25">
      <c r="A3" s="165"/>
      <c r="B3" s="162"/>
      <c r="C3" s="38" t="s">
        <v>243</v>
      </c>
      <c r="D3" s="5" t="s">
        <v>2</v>
      </c>
    </row>
    <row r="4" spans="1:4" x14ac:dyDescent="0.25">
      <c r="A4" s="165"/>
      <c r="B4" s="160" t="s">
        <v>3</v>
      </c>
      <c r="C4" s="39" t="s">
        <v>245</v>
      </c>
      <c r="D4" s="6" t="s">
        <v>4</v>
      </c>
    </row>
    <row r="5" spans="1:4" x14ac:dyDescent="0.25">
      <c r="A5" s="165"/>
      <c r="B5" s="161"/>
      <c r="C5" s="40" t="s">
        <v>244</v>
      </c>
      <c r="D5" s="7" t="s">
        <v>5</v>
      </c>
    </row>
    <row r="6" spans="1:4" x14ac:dyDescent="0.25">
      <c r="A6" s="165"/>
      <c r="B6" s="162"/>
      <c r="C6" s="38" t="s">
        <v>246</v>
      </c>
      <c r="D6" s="5" t="s">
        <v>6</v>
      </c>
    </row>
    <row r="7" spans="1:4" x14ac:dyDescent="0.25">
      <c r="A7" s="165"/>
      <c r="B7" s="160" t="s">
        <v>2</v>
      </c>
      <c r="C7" s="39" t="s">
        <v>247</v>
      </c>
      <c r="D7" s="6">
        <v>5000</v>
      </c>
    </row>
    <row r="8" spans="1:4" x14ac:dyDescent="0.25">
      <c r="A8" s="165"/>
      <c r="B8" s="161"/>
      <c r="C8" s="40" t="s">
        <v>7</v>
      </c>
      <c r="D8" s="7">
        <v>1234</v>
      </c>
    </row>
    <row r="9" spans="1:4" x14ac:dyDescent="0.25">
      <c r="A9" s="165"/>
      <c r="B9" s="162"/>
      <c r="C9" s="38" t="s">
        <v>8</v>
      </c>
      <c r="D9" s="5">
        <v>0</v>
      </c>
    </row>
    <row r="10" spans="1:4" ht="15.75" thickBot="1" x14ac:dyDescent="0.3">
      <c r="A10" s="166"/>
      <c r="B10" s="46" t="s">
        <v>9</v>
      </c>
      <c r="C10" s="41" t="s">
        <v>248</v>
      </c>
      <c r="D10" s="8" t="s">
        <v>10</v>
      </c>
    </row>
    <row r="11" spans="1:4" x14ac:dyDescent="0.25">
      <c r="A11" s="164" t="s">
        <v>27</v>
      </c>
      <c r="B11" s="167" t="s">
        <v>12</v>
      </c>
      <c r="C11" s="42" t="s">
        <v>13</v>
      </c>
      <c r="D11" s="50" t="s">
        <v>149</v>
      </c>
    </row>
    <row r="12" spans="1:4" x14ac:dyDescent="0.25">
      <c r="A12" s="165"/>
      <c r="B12" s="168"/>
      <c r="C12" s="40" t="s">
        <v>249</v>
      </c>
      <c r="D12" s="51" t="s">
        <v>15</v>
      </c>
    </row>
    <row r="13" spans="1:4" x14ac:dyDescent="0.25">
      <c r="A13" s="165"/>
      <c r="B13" s="168"/>
      <c r="C13" s="40" t="s">
        <v>250</v>
      </c>
      <c r="D13" s="51" t="s">
        <v>16</v>
      </c>
    </row>
    <row r="14" spans="1:4" x14ac:dyDescent="0.25">
      <c r="A14" s="165"/>
      <c r="B14" s="169"/>
      <c r="C14" s="38" t="s">
        <v>17</v>
      </c>
      <c r="D14" s="5"/>
    </row>
    <row r="15" spans="1:4" x14ac:dyDescent="0.25">
      <c r="A15" s="165"/>
      <c r="B15" s="47" t="s">
        <v>18</v>
      </c>
      <c r="C15" s="11" t="s">
        <v>251</v>
      </c>
      <c r="D15" s="9" t="s">
        <v>150</v>
      </c>
    </row>
    <row r="16" spans="1:4" x14ac:dyDescent="0.25">
      <c r="A16" s="165"/>
      <c r="B16" s="160" t="s">
        <v>20</v>
      </c>
      <c r="C16" s="39" t="s">
        <v>252</v>
      </c>
      <c r="D16" s="6" t="s">
        <v>6</v>
      </c>
    </row>
    <row r="17" spans="1:4" x14ac:dyDescent="0.25">
      <c r="A17" s="165"/>
      <c r="B17" s="162"/>
      <c r="C17" s="38" t="s">
        <v>253</v>
      </c>
      <c r="D17" s="5">
        <v>1</v>
      </c>
    </row>
    <row r="18" spans="1:4" x14ac:dyDescent="0.25">
      <c r="A18" s="165"/>
      <c r="B18" s="160" t="s">
        <v>21</v>
      </c>
      <c r="C18" s="39" t="s">
        <v>254</v>
      </c>
      <c r="D18" s="6">
        <v>1</v>
      </c>
    </row>
    <row r="19" spans="1:4" x14ac:dyDescent="0.25">
      <c r="A19" s="165"/>
      <c r="B19" s="162"/>
      <c r="C19" s="38" t="s">
        <v>255</v>
      </c>
      <c r="D19" s="5" t="s">
        <v>22</v>
      </c>
    </row>
    <row r="20" spans="1:4" x14ac:dyDescent="0.25">
      <c r="A20" s="165"/>
      <c r="B20" s="47" t="s">
        <v>256</v>
      </c>
      <c r="C20" s="11" t="s">
        <v>257</v>
      </c>
      <c r="D20" s="9" t="s">
        <v>23</v>
      </c>
    </row>
    <row r="21" spans="1:4" x14ac:dyDescent="0.25">
      <c r="A21" s="165"/>
      <c r="B21" s="47" t="s">
        <v>24</v>
      </c>
      <c r="C21" s="43" t="s">
        <v>258</v>
      </c>
      <c r="D21" s="9" t="s">
        <v>6</v>
      </c>
    </row>
    <row r="22" spans="1:4" x14ac:dyDescent="0.25">
      <c r="A22" s="165"/>
      <c r="B22" s="160" t="s">
        <v>25</v>
      </c>
      <c r="C22" s="39" t="s">
        <v>260</v>
      </c>
      <c r="D22" s="6">
        <v>2016</v>
      </c>
    </row>
    <row r="23" spans="1:4" x14ac:dyDescent="0.25">
      <c r="A23" s="165"/>
      <c r="B23" s="161"/>
      <c r="C23" s="159" t="s">
        <v>261</v>
      </c>
      <c r="D23" s="7">
        <v>3053</v>
      </c>
    </row>
    <row r="24" spans="1:4" x14ac:dyDescent="0.25">
      <c r="A24" s="165"/>
      <c r="B24" s="161"/>
      <c r="C24" s="40" t="s">
        <v>262</v>
      </c>
      <c r="D24" s="7">
        <v>0.61699999999999999</v>
      </c>
    </row>
    <row r="25" spans="1:4" x14ac:dyDescent="0.25">
      <c r="A25" s="165"/>
      <c r="B25" s="161"/>
      <c r="C25" s="40" t="s">
        <v>263</v>
      </c>
      <c r="D25" s="7">
        <v>0.151</v>
      </c>
    </row>
    <row r="26" spans="1:4" x14ac:dyDescent="0.25">
      <c r="A26" s="165"/>
      <c r="B26" s="161"/>
      <c r="C26" s="40" t="s">
        <v>264</v>
      </c>
      <c r="D26" s="10" t="s">
        <v>26</v>
      </c>
    </row>
    <row r="27" spans="1:4" x14ac:dyDescent="0.25">
      <c r="A27" s="165"/>
      <c r="B27" s="161"/>
      <c r="C27" s="40" t="s">
        <v>265</v>
      </c>
      <c r="D27" s="7">
        <v>0.90700000000000003</v>
      </c>
    </row>
    <row r="28" spans="1:4" x14ac:dyDescent="0.25">
      <c r="A28" s="165"/>
      <c r="B28" s="161"/>
      <c r="C28" s="40" t="s">
        <v>266</v>
      </c>
      <c r="D28" s="7">
        <v>8.3000000000000004E-2</v>
      </c>
    </row>
    <row r="29" spans="1:4" x14ac:dyDescent="0.25">
      <c r="A29" s="165"/>
      <c r="B29" s="161"/>
      <c r="C29" s="40" t="s">
        <v>267</v>
      </c>
      <c r="D29" s="7" t="s">
        <v>26</v>
      </c>
    </row>
    <row r="30" spans="1:4" x14ac:dyDescent="0.25">
      <c r="A30" s="165"/>
      <c r="B30" s="161"/>
      <c r="C30" s="40" t="s">
        <v>268</v>
      </c>
      <c r="D30" s="7">
        <v>0.70899999999999996</v>
      </c>
    </row>
    <row r="31" spans="1:4" x14ac:dyDescent="0.25">
      <c r="A31" s="165"/>
      <c r="B31" s="161"/>
      <c r="C31" s="40" t="s">
        <v>269</v>
      </c>
      <c r="D31" s="7">
        <v>0.108</v>
      </c>
    </row>
    <row r="32" spans="1:4" x14ac:dyDescent="0.25">
      <c r="A32" s="165"/>
      <c r="B32" s="161"/>
      <c r="C32" s="40" t="s">
        <v>270</v>
      </c>
      <c r="D32" s="7" t="s">
        <v>26</v>
      </c>
    </row>
    <row r="33" spans="1:4" x14ac:dyDescent="0.25">
      <c r="A33" s="165"/>
      <c r="B33" s="161"/>
      <c r="C33" s="40" t="s">
        <v>271</v>
      </c>
      <c r="D33" s="7">
        <v>0.70899999999999996</v>
      </c>
    </row>
    <row r="34" spans="1:4" x14ac:dyDescent="0.25">
      <c r="A34" s="165"/>
      <c r="B34" s="161"/>
      <c r="C34" s="40" t="s">
        <v>272</v>
      </c>
      <c r="D34" s="7">
        <v>0.108</v>
      </c>
    </row>
    <row r="35" spans="1:4" x14ac:dyDescent="0.25">
      <c r="A35" s="165"/>
      <c r="B35" s="161"/>
      <c r="C35" s="40" t="s">
        <v>273</v>
      </c>
      <c r="D35" s="7" t="s">
        <v>26</v>
      </c>
    </row>
    <row r="36" spans="1:4" x14ac:dyDescent="0.25">
      <c r="A36" s="165"/>
      <c r="B36" s="161"/>
      <c r="C36" s="40" t="s">
        <v>274</v>
      </c>
      <c r="D36" s="7">
        <v>0.70899999999999996</v>
      </c>
    </row>
    <row r="37" spans="1:4" x14ac:dyDescent="0.25">
      <c r="A37" s="165"/>
      <c r="B37" s="161"/>
      <c r="C37" s="40" t="s">
        <v>275</v>
      </c>
      <c r="D37" s="7">
        <v>0.108</v>
      </c>
    </row>
    <row r="38" spans="1:4" x14ac:dyDescent="0.25">
      <c r="A38" s="165"/>
      <c r="B38" s="161"/>
      <c r="C38" s="40" t="s">
        <v>276</v>
      </c>
      <c r="D38" s="7" t="s">
        <v>26</v>
      </c>
    </row>
    <row r="39" spans="1:4" x14ac:dyDescent="0.25">
      <c r="A39" s="165"/>
      <c r="B39" s="161"/>
      <c r="C39" s="40" t="s">
        <v>277</v>
      </c>
      <c r="D39" s="7">
        <v>0.76</v>
      </c>
    </row>
    <row r="40" spans="1:4" x14ac:dyDescent="0.25">
      <c r="A40" s="165"/>
      <c r="B40" s="161"/>
      <c r="C40" s="40" t="s">
        <v>278</v>
      </c>
      <c r="D40" s="7">
        <v>9.2999999999999999E-2</v>
      </c>
    </row>
    <row r="41" spans="1:4" x14ac:dyDescent="0.25">
      <c r="A41" s="165"/>
      <c r="B41" s="161"/>
      <c r="C41" s="40" t="s">
        <v>279</v>
      </c>
      <c r="D41" s="7" t="s">
        <v>26</v>
      </c>
    </row>
    <row r="42" spans="1:4" x14ac:dyDescent="0.25">
      <c r="A42" s="165"/>
      <c r="B42" s="161"/>
      <c r="C42" s="40" t="s">
        <v>296</v>
      </c>
      <c r="D42" s="7">
        <v>0.80500000000000005</v>
      </c>
    </row>
    <row r="43" spans="1:4" x14ac:dyDescent="0.25">
      <c r="A43" s="165"/>
      <c r="B43" s="161"/>
      <c r="C43" s="40" t="s">
        <v>297</v>
      </c>
      <c r="D43" s="7">
        <v>8.3000000000000004E-2</v>
      </c>
    </row>
    <row r="44" spans="1:4" ht="15.75" thickBot="1" x14ac:dyDescent="0.3">
      <c r="A44" s="165"/>
      <c r="B44" s="161"/>
      <c r="C44" s="40" t="s">
        <v>298</v>
      </c>
      <c r="D44" s="7" t="s">
        <v>26</v>
      </c>
    </row>
    <row r="45" spans="1:4" x14ac:dyDescent="0.25">
      <c r="A45" s="170" t="s">
        <v>36</v>
      </c>
      <c r="B45" s="48" t="s">
        <v>28</v>
      </c>
      <c r="C45" s="44" t="s">
        <v>280</v>
      </c>
      <c r="D45" s="12">
        <v>3</v>
      </c>
    </row>
    <row r="46" spans="1:4" x14ac:dyDescent="0.25">
      <c r="A46" s="171"/>
      <c r="B46" s="160" t="s">
        <v>29</v>
      </c>
      <c r="C46" s="39" t="s">
        <v>281</v>
      </c>
      <c r="D46" s="6" t="s">
        <v>30</v>
      </c>
    </row>
    <row r="47" spans="1:4" x14ac:dyDescent="0.25">
      <c r="A47" s="171"/>
      <c r="B47" s="161"/>
      <c r="C47" s="40" t="s">
        <v>282</v>
      </c>
      <c r="D47" s="7" t="s">
        <v>30</v>
      </c>
    </row>
    <row r="48" spans="1:4" x14ac:dyDescent="0.25">
      <c r="A48" s="171"/>
      <c r="B48" s="161"/>
      <c r="C48" s="40" t="s">
        <v>283</v>
      </c>
      <c r="D48" s="7" t="s">
        <v>6</v>
      </c>
    </row>
    <row r="49" spans="1:4" x14ac:dyDescent="0.25">
      <c r="A49" s="171"/>
      <c r="B49" s="162"/>
      <c r="C49" s="38" t="s">
        <v>284</v>
      </c>
      <c r="D49" s="5" t="s">
        <v>6</v>
      </c>
    </row>
    <row r="50" spans="1:4" x14ac:dyDescent="0.25">
      <c r="A50" s="171"/>
      <c r="B50" s="47" t="s">
        <v>31</v>
      </c>
      <c r="C50" s="11" t="s">
        <v>285</v>
      </c>
      <c r="D50" s="9" t="s">
        <v>32</v>
      </c>
    </row>
    <row r="51" spans="1:4" x14ac:dyDescent="0.25">
      <c r="A51" s="171"/>
      <c r="B51" s="160" t="s">
        <v>33</v>
      </c>
      <c r="C51" s="39" t="s">
        <v>34</v>
      </c>
      <c r="D51" s="6">
        <v>2027</v>
      </c>
    </row>
    <row r="52" spans="1:4" x14ac:dyDescent="0.25">
      <c r="A52" s="171"/>
      <c r="B52" s="162"/>
      <c r="C52" s="38" t="s">
        <v>35</v>
      </c>
      <c r="D52" s="13">
        <v>2077</v>
      </c>
    </row>
    <row r="53" spans="1:4" x14ac:dyDescent="0.25">
      <c r="A53" s="171"/>
      <c r="B53" s="160" t="s">
        <v>151</v>
      </c>
      <c r="C53" s="39" t="s">
        <v>42</v>
      </c>
      <c r="D53" s="16">
        <v>1</v>
      </c>
    </row>
    <row r="54" spans="1:4" x14ac:dyDescent="0.25">
      <c r="A54" s="171"/>
      <c r="B54" s="161"/>
      <c r="C54" s="40" t="s">
        <v>286</v>
      </c>
      <c r="D54" s="18">
        <f>'SeabORD outputs'!D23</f>
        <v>3.9043222003929274E-4</v>
      </c>
    </row>
    <row r="55" spans="1:4" x14ac:dyDescent="0.25">
      <c r="A55" s="171"/>
      <c r="B55" s="161"/>
      <c r="C55" s="40" t="s">
        <v>287</v>
      </c>
      <c r="D55" s="18">
        <f>'SeabORD outputs'!D24</f>
        <v>1.2507110998010804E-3</v>
      </c>
    </row>
    <row r="56" spans="1:4" x14ac:dyDescent="0.25">
      <c r="A56" s="171"/>
      <c r="B56" s="161"/>
      <c r="C56" s="40" t="s">
        <v>288</v>
      </c>
      <c r="D56" s="18">
        <f>'SeabORD outputs'!F23</f>
        <v>3.286313032089063E-4</v>
      </c>
    </row>
    <row r="57" spans="1:4" x14ac:dyDescent="0.25">
      <c r="A57" s="171"/>
      <c r="B57" s="161"/>
      <c r="C57" s="40" t="s">
        <v>289</v>
      </c>
      <c r="D57" s="18">
        <f>'SeabORD outputs'!F24</f>
        <v>8.9988066334653778E-4</v>
      </c>
    </row>
    <row r="58" spans="1:4" x14ac:dyDescent="0.25">
      <c r="A58" s="171"/>
      <c r="B58" s="161"/>
      <c r="C58" s="40" t="s">
        <v>290</v>
      </c>
      <c r="D58" s="18"/>
    </row>
    <row r="59" spans="1:4" x14ac:dyDescent="0.25">
      <c r="A59" s="171"/>
      <c r="B59" s="162"/>
      <c r="C59" s="38" t="s">
        <v>291</v>
      </c>
      <c r="D59" s="15"/>
    </row>
    <row r="60" spans="1:4" x14ac:dyDescent="0.25">
      <c r="A60" s="171"/>
      <c r="B60" s="160" t="s">
        <v>152</v>
      </c>
      <c r="C60" s="39" t="s">
        <v>42</v>
      </c>
      <c r="D60" s="17">
        <v>2</v>
      </c>
    </row>
    <row r="61" spans="1:4" x14ac:dyDescent="0.25">
      <c r="A61" s="171"/>
      <c r="B61" s="161"/>
      <c r="C61" s="40" t="s">
        <v>286</v>
      </c>
      <c r="D61" s="18">
        <f>'SeabORD outputs'!H23</f>
        <v>1.1120170268500327E-3</v>
      </c>
    </row>
    <row r="62" spans="1:4" x14ac:dyDescent="0.25">
      <c r="A62" s="171"/>
      <c r="B62" s="161"/>
      <c r="C62" s="40" t="s">
        <v>287</v>
      </c>
      <c r="D62" s="18">
        <f>'SeabORD outputs'!H24</f>
        <v>2.514615121559741E-3</v>
      </c>
    </row>
    <row r="63" spans="1:4" x14ac:dyDescent="0.25">
      <c r="A63" s="171"/>
      <c r="B63" s="161"/>
      <c r="C63" s="40" t="s">
        <v>288</v>
      </c>
      <c r="D63" s="18">
        <f>'SeabORD outputs'!J23</f>
        <v>9.1358873608382444E-4</v>
      </c>
    </row>
    <row r="64" spans="1:4" x14ac:dyDescent="0.25">
      <c r="A64" s="171"/>
      <c r="B64" s="161"/>
      <c r="C64" s="40" t="s">
        <v>289</v>
      </c>
      <c r="D64" s="18">
        <f>'SeabORD outputs'!J24</f>
        <v>1.1459895705324306E-3</v>
      </c>
    </row>
    <row r="65" spans="1:4" x14ac:dyDescent="0.25">
      <c r="A65" s="171"/>
      <c r="B65" s="161"/>
      <c r="C65" s="40" t="s">
        <v>290</v>
      </c>
      <c r="D65" s="18"/>
    </row>
    <row r="66" spans="1:4" x14ac:dyDescent="0.25">
      <c r="A66" s="171"/>
      <c r="B66" s="162"/>
      <c r="C66" s="38" t="s">
        <v>291</v>
      </c>
      <c r="D66" s="15"/>
    </row>
    <row r="67" spans="1:4" x14ac:dyDescent="0.25">
      <c r="A67" s="171"/>
      <c r="B67" s="160" t="s">
        <v>153</v>
      </c>
      <c r="C67" s="39" t="s">
        <v>42</v>
      </c>
      <c r="D67" s="17">
        <v>3</v>
      </c>
    </row>
    <row r="68" spans="1:4" x14ac:dyDescent="0.25">
      <c r="A68" s="171"/>
      <c r="B68" s="161"/>
      <c r="C68" s="40" t="s">
        <v>286</v>
      </c>
      <c r="D68" s="18">
        <f>'SeabORD outputs'!L23</f>
        <v>1.5718402095612313E-3</v>
      </c>
    </row>
    <row r="69" spans="1:4" x14ac:dyDescent="0.25">
      <c r="A69" s="171"/>
      <c r="B69" s="161"/>
      <c r="C69" s="40" t="s">
        <v>287</v>
      </c>
      <c r="D69" s="18">
        <f>'SeabORD outputs'!L24</f>
        <v>2.7874630954262685E-3</v>
      </c>
    </row>
    <row r="70" spans="1:4" x14ac:dyDescent="0.25">
      <c r="A70" s="171"/>
      <c r="B70" s="161"/>
      <c r="C70" s="40" t="s">
        <v>288</v>
      </c>
      <c r="D70" s="18">
        <f>'SeabORD outputs'!N23</f>
        <v>1.2777603143418468E-3</v>
      </c>
    </row>
    <row r="71" spans="1:4" x14ac:dyDescent="0.25">
      <c r="A71" s="171"/>
      <c r="B71" s="161"/>
      <c r="C71" s="40" t="s">
        <v>289</v>
      </c>
      <c r="D71" s="18">
        <f>'SeabORD outputs'!N24</f>
        <v>1.6244908075247367E-3</v>
      </c>
    </row>
    <row r="72" spans="1:4" x14ac:dyDescent="0.25">
      <c r="A72" s="171"/>
      <c r="B72" s="161"/>
      <c r="C72" s="40" t="s">
        <v>290</v>
      </c>
      <c r="D72" s="18"/>
    </row>
    <row r="73" spans="1:4" ht="15.75" thickBot="1" x14ac:dyDescent="0.3">
      <c r="A73" s="172"/>
      <c r="B73" s="162"/>
      <c r="C73" s="38" t="s">
        <v>291</v>
      </c>
      <c r="D73" s="15"/>
    </row>
    <row r="74" spans="1:4" x14ac:dyDescent="0.25">
      <c r="A74" s="164" t="s">
        <v>76</v>
      </c>
      <c r="B74" s="163" t="s">
        <v>68</v>
      </c>
      <c r="C74" s="42" t="s">
        <v>69</v>
      </c>
      <c r="D74" s="4">
        <v>2016</v>
      </c>
    </row>
    <row r="75" spans="1:4" x14ac:dyDescent="0.25">
      <c r="A75" s="165"/>
      <c r="B75" s="161"/>
      <c r="C75" s="40" t="s">
        <v>70</v>
      </c>
      <c r="D75" s="19">
        <v>2077</v>
      </c>
    </row>
    <row r="76" spans="1:4" x14ac:dyDescent="0.25">
      <c r="A76" s="165"/>
      <c r="B76" s="160" t="s">
        <v>71</v>
      </c>
      <c r="C76" s="39" t="s">
        <v>292</v>
      </c>
      <c r="D76" s="6" t="s">
        <v>26</v>
      </c>
    </row>
    <row r="77" spans="1:4" x14ac:dyDescent="0.25">
      <c r="A77" s="165"/>
      <c r="B77" s="162"/>
      <c r="C77" s="38" t="s">
        <v>293</v>
      </c>
      <c r="D77" s="5" t="s">
        <v>26</v>
      </c>
    </row>
    <row r="78" spans="1:4" x14ac:dyDescent="0.25">
      <c r="A78" s="165"/>
      <c r="B78" s="47" t="s">
        <v>72</v>
      </c>
      <c r="C78" s="11" t="s">
        <v>294</v>
      </c>
      <c r="D78" s="9" t="s">
        <v>73</v>
      </c>
    </row>
    <row r="79" spans="1:4" ht="15.75" thickBot="1" x14ac:dyDescent="0.3">
      <c r="A79" s="166"/>
      <c r="B79" s="49" t="s">
        <v>74</v>
      </c>
      <c r="C79" s="45" t="s">
        <v>75</v>
      </c>
      <c r="D79" s="8" t="s">
        <v>295</v>
      </c>
    </row>
  </sheetData>
  <mergeCells count="18">
    <mergeCell ref="A45:A73"/>
    <mergeCell ref="A74:A79"/>
    <mergeCell ref="B74:B75"/>
    <mergeCell ref="B76:B77"/>
    <mergeCell ref="B46:B49"/>
    <mergeCell ref="B51:B52"/>
    <mergeCell ref="B53:B59"/>
    <mergeCell ref="B60:B66"/>
    <mergeCell ref="B67:B73"/>
    <mergeCell ref="A2:A10"/>
    <mergeCell ref="B2:B3"/>
    <mergeCell ref="B4:B6"/>
    <mergeCell ref="B7:B9"/>
    <mergeCell ref="A11:A44"/>
    <mergeCell ref="B11:B14"/>
    <mergeCell ref="B16:B17"/>
    <mergeCell ref="B18:B19"/>
    <mergeCell ref="B22:B4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3FDA9F-BBC2-445F-830E-07C6FEBDE952}">
  <dimension ref="A1:N24"/>
  <sheetViews>
    <sheetView workbookViewId="0">
      <selection activeCell="A2" sqref="A2"/>
    </sheetView>
  </sheetViews>
  <sheetFormatPr defaultRowHeight="15" x14ac:dyDescent="0.25"/>
  <cols>
    <col min="1" max="1" width="10.5703125" bestFit="1" customWidth="1"/>
    <col min="2" max="2" width="10.7109375" bestFit="1" customWidth="1"/>
    <col min="3" max="3" width="16.85546875" bestFit="1" customWidth="1"/>
    <col min="4" max="4" width="11.7109375" customWidth="1"/>
    <col min="5" max="5" width="16.85546875" bestFit="1" customWidth="1"/>
    <col min="6" max="6" width="11.7109375" customWidth="1"/>
    <col min="7" max="7" width="16.85546875" bestFit="1" customWidth="1"/>
    <col min="8" max="8" width="11.7109375" customWidth="1"/>
    <col min="9" max="9" width="16.85546875" bestFit="1" customWidth="1"/>
    <col min="10" max="10" width="11.7109375" customWidth="1"/>
    <col min="11" max="11" width="16.85546875" bestFit="1" customWidth="1"/>
    <col min="12" max="12" width="11.7109375" customWidth="1"/>
    <col min="13" max="13" width="16.85546875" bestFit="1" customWidth="1"/>
    <col min="14" max="14" width="11.7109375" customWidth="1"/>
  </cols>
  <sheetData>
    <row r="1" spans="1:14" x14ac:dyDescent="0.25">
      <c r="A1" t="s">
        <v>234</v>
      </c>
    </row>
    <row r="3" spans="1:14" ht="15.75" thickBot="1" x14ac:dyDescent="0.3">
      <c r="A3" s="36" t="s">
        <v>146</v>
      </c>
    </row>
    <row r="4" spans="1:14" x14ac:dyDescent="0.25">
      <c r="C4" s="173" t="s">
        <v>139</v>
      </c>
      <c r="D4" s="174"/>
      <c r="E4" s="173" t="s">
        <v>140</v>
      </c>
      <c r="F4" s="174"/>
      <c r="G4" s="173" t="s">
        <v>141</v>
      </c>
      <c r="H4" s="174"/>
      <c r="I4" s="173" t="s">
        <v>142</v>
      </c>
      <c r="J4" s="174"/>
      <c r="K4" s="173" t="s">
        <v>144</v>
      </c>
      <c r="L4" s="174"/>
      <c r="M4" s="173" t="s">
        <v>145</v>
      </c>
      <c r="N4" s="174"/>
    </row>
    <row r="5" spans="1:14" x14ac:dyDescent="0.25">
      <c r="A5" s="23" t="s">
        <v>77</v>
      </c>
      <c r="B5" s="11" t="s">
        <v>78</v>
      </c>
      <c r="C5" s="26" t="s">
        <v>143</v>
      </c>
      <c r="D5" s="27" t="s">
        <v>79</v>
      </c>
      <c r="E5" s="26" t="s">
        <v>143</v>
      </c>
      <c r="F5" s="27" t="s">
        <v>79</v>
      </c>
      <c r="G5" s="26" t="s">
        <v>143</v>
      </c>
      <c r="H5" s="27" t="s">
        <v>79</v>
      </c>
      <c r="I5" s="26" t="s">
        <v>143</v>
      </c>
      <c r="J5" s="27" t="s">
        <v>79</v>
      </c>
      <c r="K5" s="26" t="s">
        <v>143</v>
      </c>
      <c r="L5" s="27" t="s">
        <v>79</v>
      </c>
      <c r="M5" s="26" t="s">
        <v>143</v>
      </c>
      <c r="N5" s="27" t="s">
        <v>79</v>
      </c>
    </row>
    <row r="6" spans="1:14" x14ac:dyDescent="0.25">
      <c r="A6" s="20" t="s">
        <v>80</v>
      </c>
      <c r="B6">
        <v>4040</v>
      </c>
      <c r="C6" s="28">
        <v>0.26200000000000001</v>
      </c>
      <c r="D6" s="29">
        <v>8.6999999999999994E-2</v>
      </c>
      <c r="E6" s="28">
        <v>3.5000000000000003E-2</v>
      </c>
      <c r="F6" s="29">
        <v>5.0999999999999997E-2</v>
      </c>
      <c r="G6" s="28">
        <v>0.307</v>
      </c>
      <c r="H6" s="29">
        <v>0.24</v>
      </c>
      <c r="I6" s="28">
        <v>4.7E-2</v>
      </c>
      <c r="J6" s="29">
        <v>5.7000000000000002E-2</v>
      </c>
      <c r="K6" s="28">
        <v>0.57399999999999995</v>
      </c>
      <c r="L6" s="29">
        <v>0.27400000000000002</v>
      </c>
      <c r="M6" s="28">
        <v>6.7000000000000004E-2</v>
      </c>
      <c r="N6" s="29">
        <v>7.0000000000000007E-2</v>
      </c>
    </row>
    <row r="7" spans="1:14" x14ac:dyDescent="0.25">
      <c r="A7" s="20" t="s">
        <v>81</v>
      </c>
      <c r="B7">
        <v>1168</v>
      </c>
      <c r="C7" s="28">
        <v>0.13700000000000001</v>
      </c>
      <c r="D7" s="29">
        <v>0.108</v>
      </c>
      <c r="E7" s="28">
        <v>-4.2999999999999997E-2</v>
      </c>
      <c r="F7" s="29">
        <v>4.4999999999999998E-2</v>
      </c>
      <c r="G7" s="28">
        <v>0.17399999999999999</v>
      </c>
      <c r="H7" s="29">
        <v>0.214</v>
      </c>
      <c r="I7" s="28">
        <v>-8.9999999999999993E-3</v>
      </c>
      <c r="J7" s="29">
        <v>6.3E-2</v>
      </c>
      <c r="K7" s="28">
        <v>0.308</v>
      </c>
      <c r="L7" s="29">
        <v>0.17699999999999999</v>
      </c>
      <c r="M7" s="28">
        <v>-1.7000000000000001E-2</v>
      </c>
      <c r="N7" s="29">
        <v>7.9000000000000001E-2</v>
      </c>
    </row>
    <row r="8" spans="1:14" x14ac:dyDescent="0.25">
      <c r="A8" s="20" t="s">
        <v>82</v>
      </c>
      <c r="B8">
        <v>5554</v>
      </c>
      <c r="C8" s="28">
        <v>9.7000000000000003E-2</v>
      </c>
      <c r="D8" s="29">
        <v>8.5000000000000006E-2</v>
      </c>
      <c r="E8" s="28">
        <v>2E-3</v>
      </c>
      <c r="F8" s="29">
        <v>0.02</v>
      </c>
      <c r="G8" s="28">
        <v>0.17299999999999999</v>
      </c>
      <c r="H8" s="29">
        <v>0.121</v>
      </c>
      <c r="I8" s="28">
        <v>4.4999999999999998E-2</v>
      </c>
      <c r="J8" s="29">
        <v>4.7E-2</v>
      </c>
      <c r="K8" s="28">
        <v>0.25900000000000001</v>
      </c>
      <c r="L8" s="29">
        <v>0.16700000000000001</v>
      </c>
      <c r="M8" s="28">
        <v>4.1000000000000002E-2</v>
      </c>
      <c r="N8" s="29">
        <v>3.9E-2</v>
      </c>
    </row>
    <row r="9" spans="1:14" x14ac:dyDescent="0.25">
      <c r="A9" s="20" t="s">
        <v>83</v>
      </c>
      <c r="B9">
        <v>274</v>
      </c>
      <c r="C9" s="28">
        <v>0</v>
      </c>
      <c r="D9" s="29">
        <v>0</v>
      </c>
      <c r="E9" s="28">
        <v>0</v>
      </c>
      <c r="F9" s="29">
        <v>0</v>
      </c>
      <c r="G9" s="28">
        <v>0.36499999999999999</v>
      </c>
      <c r="H9" s="29">
        <v>0.51600000000000001</v>
      </c>
      <c r="I9" s="28">
        <v>0</v>
      </c>
      <c r="J9" s="29">
        <v>0</v>
      </c>
      <c r="K9" s="28">
        <v>0.29599999999999999</v>
      </c>
      <c r="L9" s="29">
        <v>0.51</v>
      </c>
      <c r="M9" s="28">
        <v>3.5999999999999997E-2</v>
      </c>
      <c r="N9" s="29">
        <v>0.115</v>
      </c>
    </row>
    <row r="10" spans="1:14" x14ac:dyDescent="0.25">
      <c r="A10" s="21" t="s">
        <v>84</v>
      </c>
      <c r="B10" s="22">
        <v>110</v>
      </c>
      <c r="C10" s="30">
        <v>0.36399999999999999</v>
      </c>
      <c r="D10" s="31">
        <v>1.1499999999999999</v>
      </c>
      <c r="E10" s="30">
        <v>0</v>
      </c>
      <c r="F10" s="31">
        <v>0</v>
      </c>
      <c r="G10" s="30">
        <v>0.72699999999999998</v>
      </c>
      <c r="H10" s="31">
        <v>1.2709999999999999</v>
      </c>
      <c r="I10" s="30">
        <v>0.182</v>
      </c>
      <c r="J10" s="31">
        <v>0.38300000000000001</v>
      </c>
      <c r="K10" s="30">
        <v>1.091</v>
      </c>
      <c r="L10" s="31">
        <v>1.5329999999999999</v>
      </c>
      <c r="M10" s="30">
        <v>9.0999999999999998E-2</v>
      </c>
      <c r="N10" s="31">
        <v>0.28699999999999998</v>
      </c>
    </row>
    <row r="11" spans="1:14" x14ac:dyDescent="0.25">
      <c r="C11" s="32" t="s">
        <v>85</v>
      </c>
      <c r="D11" s="33">
        <f>(SUM(C6*$B6, C7*$B7, C8*$B8, C9*$B9, C10*$B10)/SUM($B6:$B10))/100</f>
        <v>1.6124834021173518E-3</v>
      </c>
      <c r="E11" s="32" t="s">
        <v>85</v>
      </c>
      <c r="F11" s="33">
        <f>(SUM(E6*$B6, E7*$B7, E8*$B8, E9*$B9, E10*$B10)/SUM($B6:$B10))/100</f>
        <v>9.1767450206352075E-5</v>
      </c>
      <c r="G11" s="32" t="s">
        <v>85</v>
      </c>
      <c r="H11" s="33">
        <f>(SUM(G6*$B6, G7*$B7, G8*$B8, G9*$B9, G10*$B10)/SUM($B6:$B10))/100</f>
        <v>2.3186201327830606E-3</v>
      </c>
      <c r="I11" s="32" t="s">
        <v>85</v>
      </c>
      <c r="J11" s="33">
        <f>(SUM(I6*$B6, I7*$B7, I8*$B8, I9*$B9, I10*$B10)/SUM($B6:$B10))/100</f>
        <v>4.0312040193791489E-4</v>
      </c>
      <c r="K11" s="32" t="s">
        <v>85</v>
      </c>
      <c r="L11" s="33">
        <f>(SUM(K6*$B6, K7*$B7, K8*$B8, K9*$B9, K10*$B10)/SUM($B6:$B10))/100</f>
        <v>3.8743082720258397E-3</v>
      </c>
      <c r="M11" s="32" t="s">
        <v>85</v>
      </c>
      <c r="N11" s="33">
        <f>(SUM(M6*$B6, M7*$B7, M8*$B8, M9*$B9, M10*$B10)/SUM($B6:$B10))/100</f>
        <v>4.4716669657276153E-4</v>
      </c>
    </row>
    <row r="12" spans="1:14" ht="15.75" thickBot="1" x14ac:dyDescent="0.3">
      <c r="C12" s="34" t="s">
        <v>86</v>
      </c>
      <c r="D12" s="35">
        <f>(SQRT((($B6-1)*D6^2+($B7-1)*D7^2+($B8-1)*D8^2+($B9-1)*D9^2+($B10-1)*D10^2)/(SUM($B6:$B10)-5)))/100</f>
        <v>1.4319874141914297E-3</v>
      </c>
      <c r="E12" s="34" t="s">
        <v>86</v>
      </c>
      <c r="F12" s="35">
        <f>(SQRT((($B6-1)*F6^2+($B7-1)*F7^2+($B8-1)*F8^2+($B9-1)*F9^2+($B10-1)*F10^2)/(SUM($B6:$B10)-5)))/100</f>
        <v>3.6802714803293502E-4</v>
      </c>
      <c r="G12" s="34" t="s">
        <v>86</v>
      </c>
      <c r="H12" s="35">
        <f>(SQRT((($B6-1)*H6^2+($B7-1)*H7^2+($B8-1)*H8^2+($B9-1)*H9^2+($B10-1)*H10^2)/(SUM($B6:$B10)-5)))/100</f>
        <v>2.3517201316093604E-3</v>
      </c>
      <c r="I12" s="34" t="s">
        <v>86</v>
      </c>
      <c r="J12" s="35">
        <f>(SQRT((($B6-1)*J6^2+($B7-1)*J7^2+($B8-1)*J8^2+($B9-1)*J9^2+($B10-1)*J10^2)/(SUM($B6:$B10)-5)))/100</f>
        <v>6.4263596937863304E-4</v>
      </c>
      <c r="K12" s="34" t="s">
        <v>86</v>
      </c>
      <c r="L12" s="35">
        <f>(SQRT((($B6-1)*L6^2+($B7-1)*L7^2+($B8-1)*L8^2+($B9-1)*L9^2+($B10-1)*L10^2)/(SUM($B6:$B10)-5)))/100</f>
        <v>2.7159905483025376E-3</v>
      </c>
      <c r="M12" s="34" t="s">
        <v>86</v>
      </c>
      <c r="N12" s="35">
        <f>(SQRT((($B6-1)*N6^2+($B7-1)*N7^2+($B8-1)*N8^2+($B9-1)*N9^2+($B10-1)*N10^2)/(SUM($B6:$B10)-5)))/100</f>
        <v>6.5713039591775617E-4</v>
      </c>
    </row>
    <row r="15" spans="1:14" ht="15.75" thickBot="1" x14ac:dyDescent="0.3">
      <c r="A15" s="36" t="s">
        <v>147</v>
      </c>
    </row>
    <row r="16" spans="1:14" x14ac:dyDescent="0.25">
      <c r="C16" s="173" t="s">
        <v>139</v>
      </c>
      <c r="D16" s="174"/>
      <c r="E16" s="173" t="s">
        <v>140</v>
      </c>
      <c r="F16" s="174"/>
      <c r="G16" s="173" t="s">
        <v>141</v>
      </c>
      <c r="H16" s="174"/>
      <c r="I16" s="173" t="s">
        <v>142</v>
      </c>
      <c r="J16" s="174"/>
      <c r="K16" s="173" t="s">
        <v>144</v>
      </c>
      <c r="L16" s="174"/>
      <c r="M16" s="173" t="s">
        <v>145</v>
      </c>
      <c r="N16" s="174"/>
    </row>
    <row r="17" spans="1:14" x14ac:dyDescent="0.25">
      <c r="A17" s="23" t="s">
        <v>77</v>
      </c>
      <c r="B17" s="11" t="s">
        <v>78</v>
      </c>
      <c r="C17" s="26" t="s">
        <v>143</v>
      </c>
      <c r="D17" s="27" t="s">
        <v>79</v>
      </c>
      <c r="E17" s="26" t="s">
        <v>143</v>
      </c>
      <c r="F17" s="27" t="s">
        <v>79</v>
      </c>
      <c r="G17" s="26" t="s">
        <v>143</v>
      </c>
      <c r="H17" s="27" t="s">
        <v>79</v>
      </c>
      <c r="I17" s="26" t="s">
        <v>143</v>
      </c>
      <c r="J17" s="27" t="s">
        <v>79</v>
      </c>
      <c r="K17" s="26" t="s">
        <v>143</v>
      </c>
      <c r="L17" s="27" t="s">
        <v>79</v>
      </c>
      <c r="M17" s="26" t="s">
        <v>143</v>
      </c>
      <c r="N17" s="27" t="s">
        <v>79</v>
      </c>
    </row>
    <row r="18" spans="1:14" x14ac:dyDescent="0.25">
      <c r="A18" s="20" t="s">
        <v>80</v>
      </c>
      <c r="B18">
        <v>1604</v>
      </c>
      <c r="C18" s="28">
        <v>8.6999999999999994E-2</v>
      </c>
      <c r="D18" s="29">
        <v>0.16700000000000001</v>
      </c>
      <c r="E18" s="28">
        <v>3.1E-2</v>
      </c>
      <c r="F18" s="29">
        <v>4.3999999999999997E-2</v>
      </c>
      <c r="G18" s="28">
        <v>8.6999999999999994E-2</v>
      </c>
      <c r="H18" s="29">
        <v>0.21199999999999999</v>
      </c>
      <c r="I18" s="28">
        <v>8.6999999999999994E-2</v>
      </c>
      <c r="J18" s="29">
        <v>7.9000000000000001E-2</v>
      </c>
      <c r="K18" s="28">
        <v>0.16200000000000001</v>
      </c>
      <c r="L18" s="29">
        <v>0.25700000000000001</v>
      </c>
      <c r="M18" s="28">
        <v>0.156</v>
      </c>
      <c r="N18" s="29">
        <v>0.111</v>
      </c>
    </row>
    <row r="19" spans="1:14" x14ac:dyDescent="0.25">
      <c r="A19" s="20" t="s">
        <v>81</v>
      </c>
      <c r="B19">
        <v>18</v>
      </c>
      <c r="C19" s="28">
        <v>0</v>
      </c>
      <c r="D19" s="29">
        <v>0</v>
      </c>
      <c r="E19" s="28">
        <v>0</v>
      </c>
      <c r="F19" s="29">
        <v>0</v>
      </c>
      <c r="G19" s="28">
        <v>0</v>
      </c>
      <c r="H19" s="29">
        <v>0</v>
      </c>
      <c r="I19" s="28">
        <v>0</v>
      </c>
      <c r="J19" s="29">
        <v>0</v>
      </c>
      <c r="K19" s="28">
        <v>0</v>
      </c>
      <c r="L19" s="29">
        <v>0</v>
      </c>
      <c r="M19" s="28">
        <v>0</v>
      </c>
      <c r="N19" s="29">
        <v>0</v>
      </c>
    </row>
    <row r="20" spans="1:14" x14ac:dyDescent="0.25">
      <c r="A20" s="20" t="s">
        <v>82</v>
      </c>
      <c r="B20">
        <v>1354</v>
      </c>
      <c r="C20" s="28">
        <v>-1.4999999999999999E-2</v>
      </c>
      <c r="D20" s="29">
        <v>4.7E-2</v>
      </c>
      <c r="E20" s="28">
        <v>0.03</v>
      </c>
      <c r="F20" s="29">
        <v>6.2E-2</v>
      </c>
      <c r="G20" s="28">
        <v>0.13300000000000001</v>
      </c>
      <c r="H20" s="29">
        <v>0.20200000000000001</v>
      </c>
      <c r="I20" s="28">
        <v>0.10299999999999999</v>
      </c>
      <c r="J20" s="29">
        <v>0.14899999999999999</v>
      </c>
      <c r="K20" s="28">
        <v>0.14799999999999999</v>
      </c>
      <c r="L20" s="29">
        <v>0.22</v>
      </c>
      <c r="M20" s="28">
        <v>9.6000000000000002E-2</v>
      </c>
      <c r="N20" s="29">
        <v>0.18099999999999999</v>
      </c>
    </row>
    <row r="21" spans="1:14" x14ac:dyDescent="0.25">
      <c r="A21" s="20" t="s">
        <v>83</v>
      </c>
      <c r="B21">
        <v>18</v>
      </c>
      <c r="C21" s="28">
        <v>0</v>
      </c>
      <c r="D21" s="29">
        <v>0</v>
      </c>
      <c r="E21" s="28">
        <v>0</v>
      </c>
      <c r="F21" s="29">
        <v>0</v>
      </c>
      <c r="G21" s="28">
        <v>0</v>
      </c>
      <c r="H21" s="29">
        <v>0</v>
      </c>
      <c r="I21" s="28">
        <v>0</v>
      </c>
      <c r="J21" s="29">
        <v>0</v>
      </c>
      <c r="K21" s="28">
        <v>0</v>
      </c>
      <c r="L21" s="29">
        <v>0</v>
      </c>
      <c r="M21" s="28">
        <v>0</v>
      </c>
      <c r="N21" s="29">
        <v>0</v>
      </c>
    </row>
    <row r="22" spans="1:14" x14ac:dyDescent="0.25">
      <c r="A22" s="21" t="s">
        <v>84</v>
      </c>
      <c r="B22" s="22">
        <v>60</v>
      </c>
      <c r="C22" s="30">
        <v>0</v>
      </c>
      <c r="D22" s="31">
        <v>0</v>
      </c>
      <c r="E22" s="30">
        <v>0.16700000000000001</v>
      </c>
      <c r="F22" s="31">
        <v>0.52700000000000002</v>
      </c>
      <c r="G22" s="30">
        <v>0.33300000000000002</v>
      </c>
      <c r="H22" s="31">
        <v>1.054</v>
      </c>
      <c r="I22" s="30">
        <v>0</v>
      </c>
      <c r="J22" s="31">
        <v>0</v>
      </c>
      <c r="K22" s="30">
        <v>0.33</v>
      </c>
      <c r="L22" s="31">
        <v>1.054</v>
      </c>
      <c r="M22" s="30">
        <v>0.16700000000000001</v>
      </c>
      <c r="N22" s="31">
        <v>0.52700000000000002</v>
      </c>
    </row>
    <row r="23" spans="1:14" x14ac:dyDescent="0.25">
      <c r="C23" s="32" t="s">
        <v>85</v>
      </c>
      <c r="D23" s="33">
        <f>(SUM(C18*$B18, C19*$B19, C20*$B20, C21*$B21, C22*$B22)/SUM($B18:$B22))/100</f>
        <v>3.9043222003929274E-4</v>
      </c>
      <c r="E23" s="32" t="s">
        <v>85</v>
      </c>
      <c r="F23" s="33">
        <f>(SUM(E18*$B18, E19*$B19, E20*$B20, E21*$B21, E22*$B22)/SUM($B18:$B22))/100</f>
        <v>3.286313032089063E-4</v>
      </c>
      <c r="G23" s="32" t="s">
        <v>85</v>
      </c>
      <c r="H23" s="33">
        <f>(SUM(G18*$B18, G19*$B19, G20*$B20, G21*$B21, G22*$B22)/SUM($B18:$B22))/100</f>
        <v>1.1120170268500327E-3</v>
      </c>
      <c r="I23" s="32" t="s">
        <v>85</v>
      </c>
      <c r="J23" s="33">
        <f>(SUM(I18*$B18, I19*$B19, I20*$B20, I21*$B21, I22*$B22)/SUM($B18:$B22))/100</f>
        <v>9.1358873608382444E-4</v>
      </c>
      <c r="K23" s="32" t="s">
        <v>85</v>
      </c>
      <c r="L23" s="33">
        <f>(SUM(K18*$B18, K19*$B19, K20*$B20, K21*$B21, K22*$B22)/SUM($B18:$B22))/100</f>
        <v>1.5718402095612313E-3</v>
      </c>
      <c r="M23" s="32" t="s">
        <v>85</v>
      </c>
      <c r="N23" s="33">
        <f>(SUM(M18*$B18, M19*$B19, M20*$B20, M21*$B21, M22*$B22)/SUM($B18:$B22))/100</f>
        <v>1.2777603143418468E-3</v>
      </c>
    </row>
    <row r="24" spans="1:14" ht="15.75" thickBot="1" x14ac:dyDescent="0.3">
      <c r="C24" s="34" t="s">
        <v>86</v>
      </c>
      <c r="D24" s="35">
        <f>(SQRT((($B18-1)*D18^2+($B19-1)*D19^2+($B20-1)*D20^2+($B21-1)*D21^2+($B22-1)*D22^2)/(SUM($B18:$B22)-5)))/100</f>
        <v>1.2507110998010804E-3</v>
      </c>
      <c r="E24" s="34" t="s">
        <v>86</v>
      </c>
      <c r="F24" s="35">
        <f>(SQRT((($B18-1)*F18^2+($B19-1)*F19^2+($B20-1)*F20^2+($B21-1)*F21^2+($B22-1)*F22^2)/(SUM($B18:$B22)-5)))/100</f>
        <v>8.9988066334653778E-4</v>
      </c>
      <c r="G24" s="34" t="s">
        <v>86</v>
      </c>
      <c r="H24" s="35">
        <f>(SQRT((($B18-1)*H18^2+($B19-1)*H19^2+($B20-1)*H20^2+($B21-1)*H21^2+($B22-1)*H22^2)/(SUM($B18:$B22)-5)))/100</f>
        <v>2.514615121559741E-3</v>
      </c>
      <c r="I24" s="34" t="s">
        <v>86</v>
      </c>
      <c r="J24" s="35">
        <f>(SQRT((($B18-1)*J18^2+($B19-1)*J19^2+($B20-1)*J20^2+($B21-1)*J21^2+($B22-1)*J22^2)/(SUM($B18:$B22)-5)))/100</f>
        <v>1.1459895705324306E-3</v>
      </c>
      <c r="K24" s="34" t="s">
        <v>86</v>
      </c>
      <c r="L24" s="35">
        <f>(SQRT((($B18-1)*L18^2+($B19-1)*L19^2+($B20-1)*L20^2+($B21-1)*L21^2+($B22-1)*L22^2)/(SUM($B18:$B22)-5)))/100</f>
        <v>2.7874630954262685E-3</v>
      </c>
      <c r="M24" s="34" t="s">
        <v>86</v>
      </c>
      <c r="N24" s="35">
        <f>(SQRT((($B18-1)*N18^2+($B19-1)*N19^2+($B20-1)*N20^2+($B21-1)*N21^2+($B22-1)*N22^2)/(SUM($B18:$B22)-5)))/100</f>
        <v>1.6244908075247367E-3</v>
      </c>
    </row>
  </sheetData>
  <mergeCells count="12">
    <mergeCell ref="M16:N16"/>
    <mergeCell ref="C4:D4"/>
    <mergeCell ref="E4:F4"/>
    <mergeCell ref="G4:H4"/>
    <mergeCell ref="I4:J4"/>
    <mergeCell ref="K4:L4"/>
    <mergeCell ref="M4:N4"/>
    <mergeCell ref="C16:D16"/>
    <mergeCell ref="E16:F16"/>
    <mergeCell ref="G16:H16"/>
    <mergeCell ref="I16:J16"/>
    <mergeCell ref="K16:L1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616C80-FC21-4FE0-8DD5-D0732FBC982F}">
  <dimension ref="A1:AE67"/>
  <sheetViews>
    <sheetView tabSelected="1" workbookViewId="0">
      <selection activeCell="S12" sqref="S12"/>
    </sheetView>
  </sheetViews>
  <sheetFormatPr defaultRowHeight="15" x14ac:dyDescent="0.25"/>
  <cols>
    <col min="1" max="1" width="16.85546875" customWidth="1"/>
    <col min="3" max="3" width="18.85546875" customWidth="1"/>
    <col min="4" max="15" width="11.28515625" customWidth="1"/>
    <col min="21" max="21" width="11.28515625" customWidth="1"/>
    <col min="22" max="23" width="12.5703125" bestFit="1" customWidth="1"/>
    <col min="24" max="24" width="12.5703125" customWidth="1"/>
    <col min="25" max="25" width="11.28515625" customWidth="1"/>
    <col min="26" max="26" width="11" customWidth="1"/>
    <col min="27" max="27" width="10.5703125" customWidth="1"/>
    <col min="28" max="28" width="10.42578125" customWidth="1"/>
    <col min="29" max="30" width="18.42578125" bestFit="1" customWidth="1"/>
    <col min="31" max="31" width="22.7109375" bestFit="1" customWidth="1"/>
  </cols>
  <sheetData>
    <row r="1" spans="1:22" x14ac:dyDescent="0.25">
      <c r="A1" s="36" t="s">
        <v>190</v>
      </c>
    </row>
    <row r="3" spans="1:22" x14ac:dyDescent="0.25">
      <c r="A3" s="36" t="s">
        <v>236</v>
      </c>
      <c r="R3" t="s">
        <v>174</v>
      </c>
    </row>
    <row r="4" spans="1:22" x14ac:dyDescent="0.25">
      <c r="A4" s="63" t="s">
        <v>154</v>
      </c>
      <c r="B4" s="64" t="s">
        <v>155</v>
      </c>
      <c r="C4" s="64" t="s">
        <v>156</v>
      </c>
      <c r="D4" s="64" t="s">
        <v>157</v>
      </c>
      <c r="E4" s="64" t="s">
        <v>158</v>
      </c>
      <c r="F4" s="64" t="s">
        <v>159</v>
      </c>
      <c r="G4" s="64" t="s">
        <v>160</v>
      </c>
      <c r="H4" s="64" t="s">
        <v>161</v>
      </c>
      <c r="I4" s="64" t="s">
        <v>162</v>
      </c>
      <c r="J4" s="64" t="s">
        <v>163</v>
      </c>
      <c r="K4" s="64" t="s">
        <v>164</v>
      </c>
      <c r="L4" s="64" t="s">
        <v>165</v>
      </c>
      <c r="M4" s="64" t="s">
        <v>166</v>
      </c>
      <c r="N4" s="64" t="s">
        <v>167</v>
      </c>
      <c r="O4" s="65" t="s">
        <v>168</v>
      </c>
      <c r="R4" s="68" t="s">
        <v>170</v>
      </c>
      <c r="S4" s="83" t="s">
        <v>171</v>
      </c>
      <c r="T4" s="83" t="s">
        <v>172</v>
      </c>
      <c r="U4" s="83" t="s">
        <v>138</v>
      </c>
      <c r="V4" s="84" t="s">
        <v>173</v>
      </c>
    </row>
    <row r="5" spans="1:22" x14ac:dyDescent="0.25">
      <c r="A5" s="20" t="s">
        <v>169</v>
      </c>
      <c r="B5" t="s">
        <v>146</v>
      </c>
      <c r="C5" t="s">
        <v>183</v>
      </c>
      <c r="D5" s="53">
        <v>3.9409730000000004E-3</v>
      </c>
      <c r="E5" s="53">
        <v>1.1794954E-2</v>
      </c>
      <c r="F5" s="53">
        <v>2.7721183E-2</v>
      </c>
      <c r="G5" s="53">
        <v>5.1091399999999999E-3</v>
      </c>
      <c r="H5" s="53">
        <v>1.8473960000000001E-2</v>
      </c>
      <c r="I5" s="53">
        <v>0.32577383100000001</v>
      </c>
      <c r="J5" s="53">
        <v>0.20001307800000001</v>
      </c>
      <c r="K5" s="53">
        <v>2.8822786999999999E-2</v>
      </c>
      <c r="L5" s="53">
        <v>5.2742350000000004E-3</v>
      </c>
      <c r="M5" s="53">
        <v>1.7959339000000001E-2</v>
      </c>
      <c r="N5" s="53">
        <v>7.6706723000000004E-2</v>
      </c>
      <c r="O5" s="54">
        <v>0</v>
      </c>
      <c r="R5" s="80">
        <v>11146</v>
      </c>
      <c r="S5" s="60">
        <v>0.94699999999999995</v>
      </c>
      <c r="T5" s="81">
        <f>R5/S5</f>
        <v>11769.799366420275</v>
      </c>
      <c r="U5" s="81">
        <f>T5-R5</f>
        <v>623.79936642027496</v>
      </c>
      <c r="V5" s="82">
        <f>1-S5</f>
        <v>5.3000000000000047E-2</v>
      </c>
    </row>
    <row r="6" spans="1:22" x14ac:dyDescent="0.25">
      <c r="A6" s="20" t="s">
        <v>169</v>
      </c>
      <c r="B6" t="s">
        <v>146</v>
      </c>
      <c r="C6" t="s">
        <v>184</v>
      </c>
      <c r="D6" s="53">
        <v>2.0610969999999999E-2</v>
      </c>
      <c r="E6" s="53">
        <v>6.1686669999999999E-2</v>
      </c>
      <c r="F6" s="53">
        <v>0.14497957</v>
      </c>
      <c r="G6" s="53">
        <v>2.672039E-2</v>
      </c>
      <c r="H6" s="53">
        <v>9.6617330000000001E-2</v>
      </c>
      <c r="I6" s="53">
        <v>1.70377109</v>
      </c>
      <c r="J6" s="53">
        <v>1.0460524</v>
      </c>
      <c r="K6" s="53">
        <v>0.15074087</v>
      </c>
      <c r="L6" s="53">
        <v>2.758383E-2</v>
      </c>
      <c r="M6" s="53">
        <v>9.3925910000000001E-2</v>
      </c>
      <c r="N6" s="53">
        <v>0.40117003000000001</v>
      </c>
      <c r="O6" s="54">
        <v>0</v>
      </c>
    </row>
    <row r="7" spans="1:22" x14ac:dyDescent="0.25">
      <c r="A7" s="21" t="s">
        <v>169</v>
      </c>
      <c r="B7" s="22" t="s">
        <v>146</v>
      </c>
      <c r="C7" s="22" t="s">
        <v>176</v>
      </c>
      <c r="D7" s="55">
        <v>2.4733169999999999E-2</v>
      </c>
      <c r="E7" s="55">
        <v>7.4024000000000006E-2</v>
      </c>
      <c r="F7" s="55">
        <v>0.17397547999999999</v>
      </c>
      <c r="G7" s="55">
        <v>3.2064469999999998E-2</v>
      </c>
      <c r="H7" s="55">
        <v>0.1159408</v>
      </c>
      <c r="I7" s="55">
        <v>2.0445253000000001</v>
      </c>
      <c r="J7" s="55">
        <v>1.25526289</v>
      </c>
      <c r="K7" s="55">
        <v>0.18088904</v>
      </c>
      <c r="L7" s="55">
        <v>3.3100589999999999E-2</v>
      </c>
      <c r="M7" s="55">
        <v>0.11271109</v>
      </c>
      <c r="N7" s="55">
        <v>0.48140402999999998</v>
      </c>
      <c r="O7" s="56">
        <v>0</v>
      </c>
      <c r="R7" t="s">
        <v>191</v>
      </c>
    </row>
    <row r="8" spans="1:22" x14ac:dyDescent="0.25">
      <c r="R8" s="68" t="s">
        <v>170</v>
      </c>
      <c r="S8" s="83" t="s">
        <v>171</v>
      </c>
      <c r="T8" s="83" t="s">
        <v>172</v>
      </c>
      <c r="U8" s="83" t="s">
        <v>138</v>
      </c>
      <c r="V8" s="84" t="s">
        <v>173</v>
      </c>
    </row>
    <row r="9" spans="1:22" x14ac:dyDescent="0.25">
      <c r="R9" s="21">
        <v>11146</v>
      </c>
      <c r="S9" s="60">
        <v>0.6</v>
      </c>
      <c r="T9" s="81">
        <f>R9/S9</f>
        <v>18576.666666666668</v>
      </c>
      <c r="U9" s="81">
        <f>T9-R9</f>
        <v>7430.6666666666679</v>
      </c>
      <c r="V9" s="82">
        <v>0.4</v>
      </c>
    </row>
    <row r="10" spans="1:22" x14ac:dyDescent="0.25">
      <c r="A10" s="36" t="s">
        <v>237</v>
      </c>
      <c r="T10" s="53"/>
    </row>
    <row r="11" spans="1:22" x14ac:dyDescent="0.25">
      <c r="A11" s="63" t="s">
        <v>154</v>
      </c>
      <c r="B11" s="64" t="s">
        <v>155</v>
      </c>
      <c r="C11" s="64" t="s">
        <v>156</v>
      </c>
      <c r="D11" s="64" t="s">
        <v>157</v>
      </c>
      <c r="E11" s="64" t="s">
        <v>158</v>
      </c>
      <c r="F11" s="64" t="s">
        <v>159</v>
      </c>
      <c r="G11" s="64" t="s">
        <v>160</v>
      </c>
      <c r="H11" s="64" t="s">
        <v>161</v>
      </c>
      <c r="I11" s="64" t="s">
        <v>162</v>
      </c>
      <c r="J11" s="64" t="s">
        <v>163</v>
      </c>
      <c r="K11" s="64" t="s">
        <v>164</v>
      </c>
      <c r="L11" s="64" t="s">
        <v>165</v>
      </c>
      <c r="M11" s="64" t="s">
        <v>166</v>
      </c>
      <c r="N11" s="64" t="s">
        <v>167</v>
      </c>
      <c r="O11" s="65" t="s">
        <v>168</v>
      </c>
      <c r="P11" s="20"/>
      <c r="R11" s="36" t="s">
        <v>185</v>
      </c>
      <c r="S11" s="53"/>
      <c r="T11" s="53"/>
    </row>
    <row r="12" spans="1:22" x14ac:dyDescent="0.25">
      <c r="A12" s="20" t="s">
        <v>169</v>
      </c>
      <c r="B12" t="s">
        <v>146</v>
      </c>
      <c r="C12" t="s">
        <v>189</v>
      </c>
      <c r="D12" s="53">
        <f>D5+D6</f>
        <v>2.4551943E-2</v>
      </c>
      <c r="E12" s="53">
        <f t="shared" ref="E12:O12" si="0">E5+E6</f>
        <v>7.3481623999999995E-2</v>
      </c>
      <c r="F12" s="53">
        <f t="shared" si="0"/>
        <v>0.17270075300000001</v>
      </c>
      <c r="G12" s="53">
        <f t="shared" si="0"/>
        <v>3.1829530000000002E-2</v>
      </c>
      <c r="H12" s="53">
        <f t="shared" si="0"/>
        <v>0.11509129</v>
      </c>
      <c r="I12" s="53">
        <f t="shared" si="0"/>
        <v>2.0295449210000003</v>
      </c>
      <c r="J12" s="53">
        <f t="shared" si="0"/>
        <v>1.246065478</v>
      </c>
      <c r="K12" s="53">
        <f t="shared" si="0"/>
        <v>0.17956365699999999</v>
      </c>
      <c r="L12" s="53">
        <f t="shared" si="0"/>
        <v>3.2858064999999999E-2</v>
      </c>
      <c r="M12" s="53">
        <f t="shared" si="0"/>
        <v>0.11188524900000001</v>
      </c>
      <c r="N12" s="53">
        <f t="shared" si="0"/>
        <v>0.47787675299999999</v>
      </c>
      <c r="O12" s="54">
        <f t="shared" si="0"/>
        <v>0</v>
      </c>
      <c r="P12" s="62"/>
      <c r="R12" s="63" t="s">
        <v>242</v>
      </c>
      <c r="S12" s="64" t="s">
        <v>169</v>
      </c>
      <c r="T12" s="64" t="s">
        <v>196</v>
      </c>
      <c r="U12" s="64" t="s">
        <v>197</v>
      </c>
      <c r="V12" s="65" t="s">
        <v>198</v>
      </c>
    </row>
    <row r="13" spans="1:22" x14ac:dyDescent="0.25">
      <c r="A13" s="21" t="s">
        <v>169</v>
      </c>
      <c r="B13" s="22" t="s">
        <v>146</v>
      </c>
      <c r="C13" s="22" t="s">
        <v>176</v>
      </c>
      <c r="D13" s="55">
        <f t="shared" ref="D13:O13" si="1">D7</f>
        <v>2.4733169999999999E-2</v>
      </c>
      <c r="E13" s="55">
        <f t="shared" si="1"/>
        <v>7.4024000000000006E-2</v>
      </c>
      <c r="F13" s="55">
        <f t="shared" si="1"/>
        <v>0.17397547999999999</v>
      </c>
      <c r="G13" s="55">
        <f t="shared" si="1"/>
        <v>3.2064469999999998E-2</v>
      </c>
      <c r="H13" s="55">
        <f t="shared" si="1"/>
        <v>0.1159408</v>
      </c>
      <c r="I13" s="55">
        <f t="shared" si="1"/>
        <v>2.0445253000000001</v>
      </c>
      <c r="J13" s="55">
        <f t="shared" si="1"/>
        <v>1.25526289</v>
      </c>
      <c r="K13" s="55">
        <f t="shared" si="1"/>
        <v>0.18088904</v>
      </c>
      <c r="L13" s="55">
        <f t="shared" si="1"/>
        <v>3.3100589999999999E-2</v>
      </c>
      <c r="M13" s="55">
        <f t="shared" si="1"/>
        <v>0.11271109</v>
      </c>
      <c r="N13" s="55">
        <f t="shared" si="1"/>
        <v>0.48140402999999998</v>
      </c>
      <c r="O13" s="56">
        <f t="shared" si="1"/>
        <v>0</v>
      </c>
      <c r="P13" s="62"/>
      <c r="R13" s="20" t="s">
        <v>177</v>
      </c>
      <c r="S13">
        <v>2.8000000000000001E-2</v>
      </c>
      <c r="T13">
        <v>2.8000000000000001E-2</v>
      </c>
      <c r="U13">
        <v>2.8000000000000001E-2</v>
      </c>
      <c r="V13" s="1">
        <v>2.8000000000000001E-2</v>
      </c>
    </row>
    <row r="14" spans="1:22" x14ac:dyDescent="0.25">
      <c r="D14" s="53"/>
      <c r="E14" s="53"/>
      <c r="F14" s="53"/>
      <c r="G14" s="53"/>
      <c r="H14" s="53"/>
      <c r="I14" s="53"/>
      <c r="J14" s="53"/>
      <c r="K14" s="53"/>
      <c r="L14" s="53"/>
      <c r="M14" s="53"/>
      <c r="N14" s="53"/>
      <c r="O14" s="53"/>
      <c r="P14" s="53"/>
      <c r="R14" s="20" t="s">
        <v>178</v>
      </c>
      <c r="S14">
        <v>0.71699999999999997</v>
      </c>
      <c r="T14">
        <v>2.5999999999999999E-2</v>
      </c>
      <c r="U14">
        <v>2.3E-2</v>
      </c>
      <c r="V14" s="1">
        <v>1.4999999999999999E-2</v>
      </c>
    </row>
    <row r="15" spans="1:22" x14ac:dyDescent="0.25">
      <c r="D15" s="53"/>
      <c r="E15" s="53"/>
      <c r="F15" s="53"/>
      <c r="G15" s="53"/>
      <c r="H15" s="53"/>
      <c r="I15" s="53"/>
      <c r="J15" s="53"/>
      <c r="K15" s="53"/>
      <c r="L15" s="53"/>
      <c r="M15" s="53"/>
      <c r="N15" s="53"/>
      <c r="O15" s="53"/>
      <c r="P15" s="53"/>
      <c r="R15" s="21" t="s">
        <v>179</v>
      </c>
      <c r="S15" s="22">
        <v>2.3E-2</v>
      </c>
      <c r="T15" s="22">
        <v>2.3E-2</v>
      </c>
      <c r="U15" s="22">
        <v>2.3E-2</v>
      </c>
      <c r="V15" s="2">
        <v>2.3E-2</v>
      </c>
    </row>
    <row r="16" spans="1:22" x14ac:dyDescent="0.25">
      <c r="A16" s="67" t="s">
        <v>238</v>
      </c>
      <c r="D16" s="53"/>
      <c r="E16" s="53"/>
      <c r="F16" s="53"/>
      <c r="G16" s="53"/>
      <c r="H16" s="53"/>
      <c r="I16" s="53"/>
      <c r="J16" s="53"/>
      <c r="K16" s="53"/>
      <c r="L16" s="53"/>
      <c r="M16" s="53"/>
      <c r="N16" s="53"/>
      <c r="O16" s="53"/>
      <c r="P16" s="53"/>
    </row>
    <row r="17" spans="1:31" x14ac:dyDescent="0.25">
      <c r="A17" s="63" t="s">
        <v>154</v>
      </c>
      <c r="B17" s="64" t="s">
        <v>155</v>
      </c>
      <c r="C17" s="64" t="s">
        <v>156</v>
      </c>
      <c r="D17" s="64" t="s">
        <v>157</v>
      </c>
      <c r="E17" s="64" t="s">
        <v>158</v>
      </c>
      <c r="F17" s="64" t="s">
        <v>159</v>
      </c>
      <c r="G17" s="64" t="s">
        <v>160</v>
      </c>
      <c r="H17" s="64" t="s">
        <v>161</v>
      </c>
      <c r="I17" s="64" t="s">
        <v>162</v>
      </c>
      <c r="J17" s="64" t="s">
        <v>163</v>
      </c>
      <c r="K17" s="64" t="s">
        <v>164</v>
      </c>
      <c r="L17" s="64" t="s">
        <v>165</v>
      </c>
      <c r="M17" s="64" t="s">
        <v>166</v>
      </c>
      <c r="N17" s="64" t="s">
        <v>167</v>
      </c>
      <c r="O17" s="65" t="s">
        <v>168</v>
      </c>
    </row>
    <row r="18" spans="1:31" x14ac:dyDescent="0.25">
      <c r="A18" s="67" t="s">
        <v>169</v>
      </c>
      <c r="B18" s="36" t="s">
        <v>146</v>
      </c>
      <c r="C18" s="36" t="s">
        <v>189</v>
      </c>
      <c r="D18" s="74">
        <f>$S$13*D12</f>
        <v>6.8745440400000001E-4</v>
      </c>
      <c r="E18" s="74">
        <f t="shared" ref="D18:F19" si="2">$S$13*E12</f>
        <v>2.0574854719999998E-3</v>
      </c>
      <c r="F18" s="74">
        <f t="shared" si="2"/>
        <v>4.8356210840000005E-3</v>
      </c>
      <c r="G18" s="72">
        <f t="shared" ref="G18:K19" si="3">$S$14*G12</f>
        <v>2.2821773010000001E-2</v>
      </c>
      <c r="H18" s="72">
        <f>$S$14*H12</f>
        <v>8.2520454930000001E-2</v>
      </c>
      <c r="I18" s="72">
        <f t="shared" si="3"/>
        <v>1.4551837083570001</v>
      </c>
      <c r="J18" s="72">
        <f t="shared" si="3"/>
        <v>0.89342894772600001</v>
      </c>
      <c r="K18" s="72">
        <f t="shared" si="3"/>
        <v>0.12874714206899998</v>
      </c>
      <c r="L18" s="76">
        <f t="shared" ref="L18:O19" si="4">$S$15*L12</f>
        <v>7.5573549499999997E-4</v>
      </c>
      <c r="M18" s="76">
        <f t="shared" si="4"/>
        <v>2.5733607269999999E-3</v>
      </c>
      <c r="N18" s="76">
        <f t="shared" si="4"/>
        <v>1.0991165318999999E-2</v>
      </c>
      <c r="O18" s="77">
        <f t="shared" si="4"/>
        <v>0</v>
      </c>
      <c r="P18" s="71"/>
      <c r="Q18" s="36"/>
      <c r="AD18" s="59"/>
      <c r="AE18" s="59"/>
    </row>
    <row r="19" spans="1:31" x14ac:dyDescent="0.25">
      <c r="A19" s="21" t="s">
        <v>169</v>
      </c>
      <c r="B19" s="22" t="s">
        <v>146</v>
      </c>
      <c r="C19" s="22" t="s">
        <v>176</v>
      </c>
      <c r="D19" s="75">
        <f t="shared" si="2"/>
        <v>6.9252875999999998E-4</v>
      </c>
      <c r="E19" s="75">
        <f t="shared" si="2"/>
        <v>2.0726720000000002E-3</v>
      </c>
      <c r="F19" s="75">
        <f t="shared" si="2"/>
        <v>4.8713134399999995E-3</v>
      </c>
      <c r="G19" s="73">
        <f t="shared" si="3"/>
        <v>2.2990224989999999E-2</v>
      </c>
      <c r="H19" s="73">
        <f t="shared" si="3"/>
        <v>8.3129553599999989E-2</v>
      </c>
      <c r="I19" s="73">
        <f t="shared" si="3"/>
        <v>1.4659246401000001</v>
      </c>
      <c r="J19" s="73">
        <f t="shared" si="3"/>
        <v>0.90002349212999999</v>
      </c>
      <c r="K19" s="73">
        <f t="shared" si="3"/>
        <v>0.12969744168</v>
      </c>
      <c r="L19" s="78">
        <f t="shared" si="4"/>
        <v>7.6131357000000001E-4</v>
      </c>
      <c r="M19" s="78">
        <f t="shared" si="4"/>
        <v>2.5923550699999999E-3</v>
      </c>
      <c r="N19" s="78">
        <f t="shared" si="4"/>
        <v>1.1072292689999999E-2</v>
      </c>
      <c r="O19" s="79">
        <f t="shared" si="4"/>
        <v>0</v>
      </c>
      <c r="P19" s="53"/>
      <c r="AD19" s="57"/>
      <c r="AE19" s="57"/>
    </row>
    <row r="22" spans="1:31" x14ac:dyDescent="0.25">
      <c r="A22" s="36" t="s">
        <v>239</v>
      </c>
      <c r="F22" s="36"/>
    </row>
    <row r="23" spans="1:31" x14ac:dyDescent="0.25">
      <c r="A23" s="175" t="s">
        <v>154</v>
      </c>
      <c r="B23" s="177" t="s">
        <v>155</v>
      </c>
      <c r="C23" s="179" t="s">
        <v>156</v>
      </c>
      <c r="D23" s="181" t="s">
        <v>180</v>
      </c>
      <c r="E23" s="182"/>
      <c r="F23" s="182"/>
      <c r="G23" s="183"/>
      <c r="H23" s="189" t="s">
        <v>181</v>
      </c>
      <c r="I23" s="184"/>
      <c r="J23" s="184"/>
      <c r="K23" s="185"/>
      <c r="L23" s="189" t="s">
        <v>200</v>
      </c>
      <c r="M23" s="185"/>
      <c r="N23" s="189" t="s">
        <v>201</v>
      </c>
      <c r="O23" s="185"/>
    </row>
    <row r="24" spans="1:31" x14ac:dyDescent="0.25">
      <c r="A24" s="176"/>
      <c r="B24" s="178"/>
      <c r="C24" s="180"/>
      <c r="D24" s="175" t="s">
        <v>178</v>
      </c>
      <c r="E24" s="177" t="s">
        <v>179</v>
      </c>
      <c r="F24" s="177" t="s">
        <v>177</v>
      </c>
      <c r="G24" s="179" t="s">
        <v>175</v>
      </c>
      <c r="H24" s="184" t="s">
        <v>186</v>
      </c>
      <c r="I24" s="185"/>
      <c r="J24" s="189" t="s">
        <v>188</v>
      </c>
      <c r="K24" s="185"/>
      <c r="L24" s="175" t="s">
        <v>182</v>
      </c>
      <c r="M24" s="179" t="s">
        <v>187</v>
      </c>
      <c r="N24" s="175" t="s">
        <v>182</v>
      </c>
      <c r="O24" s="179" t="s">
        <v>187</v>
      </c>
    </row>
    <row r="25" spans="1:31" x14ac:dyDescent="0.25">
      <c r="A25" s="186"/>
      <c r="B25" s="187"/>
      <c r="C25" s="188"/>
      <c r="D25" s="186"/>
      <c r="E25" s="187"/>
      <c r="F25" s="187"/>
      <c r="G25" s="188"/>
      <c r="H25" s="94" t="s">
        <v>182</v>
      </c>
      <c r="I25" s="95" t="s">
        <v>187</v>
      </c>
      <c r="J25" s="93" t="s">
        <v>182</v>
      </c>
      <c r="K25" s="95" t="s">
        <v>187</v>
      </c>
      <c r="L25" s="186"/>
      <c r="M25" s="188"/>
      <c r="N25" s="186"/>
      <c r="O25" s="188"/>
    </row>
    <row r="26" spans="1:31" x14ac:dyDescent="0.25">
      <c r="A26" s="67" t="s">
        <v>169</v>
      </c>
      <c r="B26" s="36" t="s">
        <v>146</v>
      </c>
      <c r="C26" s="36" t="s">
        <v>189</v>
      </c>
      <c r="D26" s="58">
        <f>SUM(G18:K18)</f>
        <v>2.5827020260919999</v>
      </c>
      <c r="E26" s="71">
        <f>SUM(L18:O18)</f>
        <v>1.4320261540999999E-2</v>
      </c>
      <c r="F26" s="71">
        <f>SUM(D18:F18)</f>
        <v>7.5805609600000006E-3</v>
      </c>
      <c r="G26" s="54">
        <f>SUM(D18:O18)</f>
        <v>2.6046028485930002</v>
      </c>
      <c r="H26" s="89">
        <f>$S$5*D26</f>
        <v>2.4458188187091237</v>
      </c>
      <c r="I26" s="90">
        <f>$V$5*D26</f>
        <v>0.13688320738287613</v>
      </c>
      <c r="J26" s="88">
        <f>$S$9*(E26+F26)</f>
        <v>1.3140493500599999E-2</v>
      </c>
      <c r="K26" s="90">
        <f>$V$9*(E26+F26)</f>
        <v>8.7603290004000002E-3</v>
      </c>
      <c r="L26" s="91">
        <f>(H26+J26)/$R$9</f>
        <v>2.2061361135920722E-4</v>
      </c>
      <c r="M26" s="92">
        <f>(I26+K26)/$U$9</f>
        <v>1.9600332368106418E-5</v>
      </c>
      <c r="N26" s="91">
        <f>L26*0.9</f>
        <v>1.9855225022328651E-4</v>
      </c>
      <c r="O26" s="92">
        <f>M26</f>
        <v>1.9600332368106418E-5</v>
      </c>
    </row>
    <row r="27" spans="1:31" x14ac:dyDescent="0.25">
      <c r="A27" s="21" t="s">
        <v>169</v>
      </c>
      <c r="B27" s="22" t="s">
        <v>146</v>
      </c>
      <c r="C27" s="22" t="s">
        <v>176</v>
      </c>
      <c r="D27" s="61">
        <f>SUM(G19:K19)</f>
        <v>2.6017653524999997</v>
      </c>
      <c r="E27" s="55">
        <f>SUM(L19:O19)</f>
        <v>1.4425961329999999E-2</v>
      </c>
      <c r="F27" s="55">
        <f>SUM(D19:F19)</f>
        <v>7.6365141999999997E-3</v>
      </c>
      <c r="G27" s="56">
        <f>SUM(D19:O19)</f>
        <v>2.62382782803</v>
      </c>
      <c r="H27" s="55">
        <f>$S$5*D27</f>
        <v>2.4638717888174995</v>
      </c>
      <c r="I27" s="56">
        <f>$V$5*D27</f>
        <v>0.13789356368250011</v>
      </c>
      <c r="J27" s="61">
        <f>$S$9*(E27+F27)</f>
        <v>1.3237485318E-2</v>
      </c>
      <c r="K27" s="56">
        <f>$V$9*(E27+F27)</f>
        <v>8.8249902120000005E-3</v>
      </c>
      <c r="L27" s="86">
        <f>(H27+J27)/$R$9</f>
        <v>2.222419948084963E-4</v>
      </c>
      <c r="M27" s="25">
        <f>(I27+K27)/$U$9</f>
        <v>1.9745005458617453E-5</v>
      </c>
      <c r="N27" s="86">
        <f>L27*0.9</f>
        <v>2.0001779532764668E-4</v>
      </c>
      <c r="O27" s="25">
        <f>M27</f>
        <v>1.9745005458617453E-5</v>
      </c>
    </row>
    <row r="28" spans="1:31" x14ac:dyDescent="0.25">
      <c r="C28" s="36"/>
    </row>
    <row r="30" spans="1:31" x14ac:dyDescent="0.25">
      <c r="A30" s="52"/>
      <c r="B30" s="52"/>
      <c r="C30" s="52"/>
      <c r="D30" s="52"/>
      <c r="E30" s="52"/>
      <c r="F30" s="52"/>
      <c r="G30" s="52"/>
      <c r="H30" s="52"/>
      <c r="I30" s="52"/>
      <c r="J30" s="52"/>
      <c r="K30" s="52"/>
      <c r="L30" s="52"/>
      <c r="M30" s="52"/>
      <c r="N30" s="52"/>
      <c r="O30" s="52"/>
      <c r="P30" s="52"/>
      <c r="Q30" s="52"/>
      <c r="R30" s="52"/>
      <c r="S30" s="52"/>
      <c r="T30" s="52"/>
      <c r="U30" s="52"/>
      <c r="V30" s="52"/>
      <c r="W30" s="52"/>
      <c r="X30" s="52"/>
      <c r="Y30" s="52"/>
      <c r="Z30" s="52"/>
      <c r="AA30" s="52"/>
      <c r="AB30" s="52"/>
      <c r="AC30" s="52"/>
    </row>
    <row r="32" spans="1:31" x14ac:dyDescent="0.25">
      <c r="A32" s="36" t="s">
        <v>192</v>
      </c>
    </row>
    <row r="34" spans="1:15" x14ac:dyDescent="0.25">
      <c r="A34" s="36" t="s">
        <v>236</v>
      </c>
    </row>
    <row r="35" spans="1:15" x14ac:dyDescent="0.25">
      <c r="A35" s="63" t="s">
        <v>154</v>
      </c>
      <c r="B35" s="64" t="s">
        <v>155</v>
      </c>
      <c r="C35" s="64" t="s">
        <v>156</v>
      </c>
      <c r="D35" s="64" t="s">
        <v>157</v>
      </c>
      <c r="E35" s="64" t="s">
        <v>158</v>
      </c>
      <c r="F35" s="64" t="s">
        <v>159</v>
      </c>
      <c r="G35" s="64" t="s">
        <v>160</v>
      </c>
      <c r="H35" s="64" t="s">
        <v>161</v>
      </c>
      <c r="I35" s="64" t="s">
        <v>162</v>
      </c>
      <c r="J35" s="64" t="s">
        <v>163</v>
      </c>
      <c r="K35" s="64" t="s">
        <v>164</v>
      </c>
      <c r="L35" s="64" t="s">
        <v>165</v>
      </c>
      <c r="M35" s="64" t="s">
        <v>166</v>
      </c>
      <c r="N35" s="64" t="s">
        <v>167</v>
      </c>
      <c r="O35" s="65" t="s">
        <v>168</v>
      </c>
    </row>
    <row r="36" spans="1:15" x14ac:dyDescent="0.25">
      <c r="A36" s="20" t="s">
        <v>193</v>
      </c>
      <c r="B36" t="s">
        <v>146</v>
      </c>
      <c r="C36">
        <v>84</v>
      </c>
      <c r="D36" s="53">
        <v>0.32495980000000002</v>
      </c>
      <c r="E36" s="53">
        <v>0.77265379999999995</v>
      </c>
      <c r="F36" s="53">
        <v>1.9854704000000001</v>
      </c>
      <c r="G36" s="53">
        <v>2.2412901000000001</v>
      </c>
      <c r="H36" s="53">
        <v>2.1467751000000002</v>
      </c>
      <c r="I36" s="53">
        <v>2.4994863999999999</v>
      </c>
      <c r="J36" s="53">
        <v>1.9714502</v>
      </c>
      <c r="K36" s="53">
        <v>0</v>
      </c>
      <c r="L36" s="53">
        <v>0.22875799999999999</v>
      </c>
      <c r="M36" s="53">
        <v>0.5727662</v>
      </c>
      <c r="N36" s="53">
        <v>0.3254705</v>
      </c>
      <c r="O36" s="54">
        <v>0.15920119999999999</v>
      </c>
    </row>
    <row r="37" spans="1:15" x14ac:dyDescent="0.25">
      <c r="A37" s="20" t="s">
        <v>194</v>
      </c>
      <c r="B37" t="s">
        <v>146</v>
      </c>
      <c r="C37">
        <v>60</v>
      </c>
      <c r="D37" s="53">
        <v>0.41123349999999997</v>
      </c>
      <c r="E37" s="53">
        <v>0.88289839999999997</v>
      </c>
      <c r="F37" s="53">
        <v>5.4276194999999996</v>
      </c>
      <c r="G37" s="53">
        <v>15.218496500000001</v>
      </c>
      <c r="H37" s="53">
        <v>50.042181399999997</v>
      </c>
      <c r="I37" s="53">
        <v>4.0320663999999997</v>
      </c>
      <c r="J37" s="53">
        <v>1.5659763</v>
      </c>
      <c r="K37" s="53">
        <v>1.2391277999999999</v>
      </c>
      <c r="L37" s="53">
        <v>0.31780439999999999</v>
      </c>
      <c r="M37" s="53">
        <v>0.56176899999999996</v>
      </c>
      <c r="N37" s="53">
        <v>0</v>
      </c>
      <c r="O37" s="54">
        <v>0.1153155</v>
      </c>
    </row>
    <row r="38" spans="1:15" x14ac:dyDescent="0.25">
      <c r="A38" s="21" t="s">
        <v>195</v>
      </c>
      <c r="B38" s="22" t="s">
        <v>146</v>
      </c>
      <c r="C38" s="22">
        <v>100</v>
      </c>
      <c r="D38" s="55">
        <v>0.3410724</v>
      </c>
      <c r="E38" s="55">
        <v>4.1482032000000002</v>
      </c>
      <c r="F38" s="55">
        <v>26.120460399999999</v>
      </c>
      <c r="G38" s="55">
        <v>45.296529399999997</v>
      </c>
      <c r="H38" s="55">
        <v>9.1271375999999993</v>
      </c>
      <c r="I38" s="55">
        <v>5.9411119000000001</v>
      </c>
      <c r="J38" s="55">
        <v>4.3693321999999997</v>
      </c>
      <c r="K38" s="55">
        <v>8.6923628999999991</v>
      </c>
      <c r="L38" s="55">
        <v>4.6310159999999998</v>
      </c>
      <c r="M38" s="55">
        <v>0.70399060000000002</v>
      </c>
      <c r="N38" s="55">
        <v>1.1043597000000001</v>
      </c>
      <c r="O38" s="56">
        <v>2.2991868000000002</v>
      </c>
    </row>
    <row r="40" spans="1:15" x14ac:dyDescent="0.25"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53"/>
    </row>
    <row r="41" spans="1:15" x14ac:dyDescent="0.25">
      <c r="A41" s="67" t="s">
        <v>240</v>
      </c>
      <c r="D41" s="53"/>
      <c r="E41" s="53"/>
      <c r="F41" s="53"/>
      <c r="G41" s="53"/>
      <c r="H41" s="53"/>
      <c r="I41" s="53"/>
      <c r="J41" s="53"/>
      <c r="K41" s="53"/>
      <c r="L41" s="53"/>
      <c r="M41" s="53"/>
      <c r="N41" s="53"/>
      <c r="O41" s="53"/>
    </row>
    <row r="42" spans="1:15" x14ac:dyDescent="0.25">
      <c r="A42" s="69" t="s">
        <v>154</v>
      </c>
      <c r="B42" s="70" t="s">
        <v>155</v>
      </c>
      <c r="C42" s="70" t="s">
        <v>156</v>
      </c>
      <c r="D42" s="70" t="s">
        <v>157</v>
      </c>
      <c r="E42" s="70" t="s">
        <v>158</v>
      </c>
      <c r="F42" s="70" t="s">
        <v>159</v>
      </c>
      <c r="G42" s="70" t="s">
        <v>160</v>
      </c>
      <c r="H42" s="70" t="s">
        <v>161</v>
      </c>
      <c r="I42" s="70" t="s">
        <v>162</v>
      </c>
      <c r="J42" s="70" t="s">
        <v>163</v>
      </c>
      <c r="K42" s="70" t="s">
        <v>164</v>
      </c>
      <c r="L42" s="70" t="s">
        <v>165</v>
      </c>
      <c r="M42" s="70" t="s">
        <v>166</v>
      </c>
      <c r="N42" s="70" t="s">
        <v>167</v>
      </c>
      <c r="O42" s="66" t="s">
        <v>168</v>
      </c>
    </row>
    <row r="43" spans="1:15" x14ac:dyDescent="0.25">
      <c r="A43" s="87" t="str">
        <f>A36</f>
        <v>BeatriceAsBuilt</v>
      </c>
      <c r="B43" s="52" t="str">
        <f t="shared" ref="B43:C43" si="5">B36</f>
        <v>Kittiwake</v>
      </c>
      <c r="C43" s="52">
        <f t="shared" si="5"/>
        <v>84</v>
      </c>
      <c r="D43" s="96">
        <f>D36*$T$13</f>
        <v>9.0988744E-3</v>
      </c>
      <c r="E43" s="96">
        <f t="shared" ref="E43:F43" si="6">E36*$T$13</f>
        <v>2.1634306399999997E-2</v>
      </c>
      <c r="F43" s="96">
        <f t="shared" si="6"/>
        <v>5.5593171200000006E-2</v>
      </c>
      <c r="G43" s="97">
        <f>G36*$T$14</f>
        <v>5.8273542599999999E-2</v>
      </c>
      <c r="H43" s="97">
        <f t="shared" ref="H43:K43" si="7">H36*$T$14</f>
        <v>5.5816152600000002E-2</v>
      </c>
      <c r="I43" s="97">
        <f t="shared" si="7"/>
        <v>6.49866464E-2</v>
      </c>
      <c r="J43" s="97">
        <f t="shared" si="7"/>
        <v>5.1257705199999996E-2</v>
      </c>
      <c r="K43" s="97">
        <f t="shared" si="7"/>
        <v>0</v>
      </c>
      <c r="L43" s="98">
        <f>L36*$T$15</f>
        <v>5.2614339999999997E-3</v>
      </c>
      <c r="M43" s="98">
        <f t="shared" ref="M43:N43" si="8">M36*$T$15</f>
        <v>1.31736226E-2</v>
      </c>
      <c r="N43" s="98">
        <f t="shared" si="8"/>
        <v>7.4858214999999999E-3</v>
      </c>
      <c r="O43" s="99">
        <f>O36*$T$15</f>
        <v>3.6616275999999995E-3</v>
      </c>
    </row>
    <row r="44" spans="1:15" x14ac:dyDescent="0.25">
      <c r="A44" s="20" t="str">
        <f t="shared" ref="A44:C45" si="9">A37</f>
        <v>MorayEastAsBuilt</v>
      </c>
      <c r="B44" t="str">
        <f t="shared" si="9"/>
        <v>Kittiwake</v>
      </c>
      <c r="C44">
        <f t="shared" si="9"/>
        <v>60</v>
      </c>
      <c r="D44" s="74">
        <f>D37*$U$13</f>
        <v>1.1514538E-2</v>
      </c>
      <c r="E44" s="74">
        <f t="shared" ref="E44:F44" si="10">E37*$U$13</f>
        <v>2.4721155200000001E-2</v>
      </c>
      <c r="F44" s="74">
        <f t="shared" si="10"/>
        <v>0.15197334599999998</v>
      </c>
      <c r="G44" s="72">
        <f>G37*$U$14</f>
        <v>0.35002541949999999</v>
      </c>
      <c r="H44" s="72">
        <f t="shared" ref="H44:K44" si="11">H37*$U$14</f>
        <v>1.1509701721999999</v>
      </c>
      <c r="I44" s="72">
        <f t="shared" si="11"/>
        <v>9.2737527199999989E-2</v>
      </c>
      <c r="J44" s="72">
        <f t="shared" si="11"/>
        <v>3.6017454900000002E-2</v>
      </c>
      <c r="K44" s="72">
        <f t="shared" si="11"/>
        <v>2.8499939399999997E-2</v>
      </c>
      <c r="L44" s="76">
        <f>L37*$U$15</f>
        <v>7.3095011999999996E-3</v>
      </c>
      <c r="M44" s="76">
        <f t="shared" ref="M44:O44" si="12">M37*$U$15</f>
        <v>1.2920686999999998E-2</v>
      </c>
      <c r="N44" s="76">
        <f t="shared" si="12"/>
        <v>0</v>
      </c>
      <c r="O44" s="77">
        <f t="shared" si="12"/>
        <v>2.6522565000000001E-3</v>
      </c>
    </row>
    <row r="45" spans="1:15" x14ac:dyDescent="0.25">
      <c r="A45" s="21" t="str">
        <f t="shared" si="9"/>
        <v>MorayWestAsBuilt</v>
      </c>
      <c r="B45" s="22" t="str">
        <f t="shared" si="9"/>
        <v>Kittiwake</v>
      </c>
      <c r="C45" s="22">
        <f t="shared" si="9"/>
        <v>100</v>
      </c>
      <c r="D45" s="100">
        <f>D38*$V$13</f>
        <v>9.5500272000000001E-3</v>
      </c>
      <c r="E45" s="100">
        <f t="shared" ref="E45:F45" si="13">E38*$V$13</f>
        <v>0.11614968960000001</v>
      </c>
      <c r="F45" s="100">
        <f t="shared" si="13"/>
        <v>0.73137289119999993</v>
      </c>
      <c r="G45" s="101">
        <f>G38*$V$14</f>
        <v>0.67944794099999994</v>
      </c>
      <c r="H45" s="101">
        <f t="shared" ref="H45:K45" si="14">H38*$V$14</f>
        <v>0.13690706399999999</v>
      </c>
      <c r="I45" s="101">
        <f t="shared" si="14"/>
        <v>8.9116678500000004E-2</v>
      </c>
      <c r="J45" s="101">
        <f t="shared" si="14"/>
        <v>6.5539982999999996E-2</v>
      </c>
      <c r="K45" s="101">
        <f t="shared" si="14"/>
        <v>0.13038544349999998</v>
      </c>
      <c r="L45" s="102">
        <f>L38*$V$15</f>
        <v>0.106513368</v>
      </c>
      <c r="M45" s="102">
        <f t="shared" ref="M45:O45" si="15">M38*$V$15</f>
        <v>1.6191783800000002E-2</v>
      </c>
      <c r="N45" s="102">
        <f t="shared" si="15"/>
        <v>2.5400273100000002E-2</v>
      </c>
      <c r="O45" s="103">
        <f t="shared" si="15"/>
        <v>5.2881296400000007E-2</v>
      </c>
    </row>
    <row r="48" spans="1:15" x14ac:dyDescent="0.25">
      <c r="A48" s="36" t="s">
        <v>241</v>
      </c>
      <c r="F48" s="36"/>
    </row>
    <row r="49" spans="1:27" x14ac:dyDescent="0.25">
      <c r="A49" s="175" t="s">
        <v>154</v>
      </c>
      <c r="B49" s="177" t="s">
        <v>155</v>
      </c>
      <c r="C49" s="179" t="s">
        <v>156</v>
      </c>
      <c r="D49" s="181" t="s">
        <v>180</v>
      </c>
      <c r="E49" s="182"/>
      <c r="F49" s="182"/>
      <c r="G49" s="183"/>
      <c r="H49" s="189" t="s">
        <v>181</v>
      </c>
      <c r="I49" s="184"/>
      <c r="J49" s="184"/>
      <c r="K49" s="185"/>
      <c r="L49" s="189" t="s">
        <v>200</v>
      </c>
      <c r="M49" s="185"/>
      <c r="N49" s="189" t="s">
        <v>201</v>
      </c>
      <c r="O49" s="185"/>
    </row>
    <row r="50" spans="1:27" x14ac:dyDescent="0.25">
      <c r="A50" s="176"/>
      <c r="B50" s="178"/>
      <c r="C50" s="180"/>
      <c r="D50" s="175" t="s">
        <v>178</v>
      </c>
      <c r="E50" s="177" t="s">
        <v>179</v>
      </c>
      <c r="F50" s="177" t="s">
        <v>177</v>
      </c>
      <c r="G50" s="179" t="s">
        <v>175</v>
      </c>
      <c r="H50" s="184" t="s">
        <v>186</v>
      </c>
      <c r="I50" s="185"/>
      <c r="J50" s="189" t="s">
        <v>188</v>
      </c>
      <c r="K50" s="185"/>
      <c r="L50" s="175" t="s">
        <v>182</v>
      </c>
      <c r="M50" s="179" t="s">
        <v>187</v>
      </c>
      <c r="N50" s="175" t="s">
        <v>182</v>
      </c>
      <c r="O50" s="179" t="s">
        <v>187</v>
      </c>
    </row>
    <row r="51" spans="1:27" x14ac:dyDescent="0.25">
      <c r="A51" s="176"/>
      <c r="B51" s="178"/>
      <c r="C51" s="180"/>
      <c r="D51" s="176"/>
      <c r="E51" s="178"/>
      <c r="F51" s="178"/>
      <c r="G51" s="180"/>
      <c r="H51" s="94" t="s">
        <v>182</v>
      </c>
      <c r="I51" s="95" t="s">
        <v>187</v>
      </c>
      <c r="J51" s="93" t="s">
        <v>182</v>
      </c>
      <c r="K51" s="95" t="s">
        <v>187</v>
      </c>
      <c r="L51" s="176"/>
      <c r="M51" s="180"/>
      <c r="N51" s="176"/>
      <c r="O51" s="180"/>
    </row>
    <row r="52" spans="1:27" x14ac:dyDescent="0.25">
      <c r="A52" s="87" t="str">
        <f>A36</f>
        <v>BeatriceAsBuilt</v>
      </c>
      <c r="B52" s="52" t="str">
        <f t="shared" ref="B52:C52" si="16">B36</f>
        <v>Kittiwake</v>
      </c>
      <c r="C52" s="52">
        <f t="shared" si="16"/>
        <v>84</v>
      </c>
      <c r="D52" s="106">
        <f>SUM(G43:K43)</f>
        <v>0.23033404680000003</v>
      </c>
      <c r="E52" s="104">
        <f>SUM(L43:O43)</f>
        <v>2.9582505699999997E-2</v>
      </c>
      <c r="F52" s="104">
        <f>SUM(D43:F43)</f>
        <v>8.6326351999999995E-2</v>
      </c>
      <c r="G52" s="105">
        <f>SUM(D43:O43)</f>
        <v>0.3462429045</v>
      </c>
      <c r="H52" s="106">
        <f>$S$5*D52</f>
        <v>0.21812634231960001</v>
      </c>
      <c r="I52" s="105">
        <f>$V$5*D52</f>
        <v>1.2207704480400013E-2</v>
      </c>
      <c r="J52" s="106">
        <f>$S$9*(E52+F52)</f>
        <v>6.9545314619999993E-2</v>
      </c>
      <c r="K52" s="105">
        <f>$V$9*(E52+F52)</f>
        <v>4.636354308E-2</v>
      </c>
      <c r="L52" s="109">
        <f>(H52+J52)/$R$9</f>
        <v>2.5809407584747894E-5</v>
      </c>
      <c r="M52" s="107">
        <f>(I52+K52)/$U$9</f>
        <v>7.8823677858065673E-6</v>
      </c>
      <c r="N52" s="109">
        <f>L52*0.9</f>
        <v>2.3228466826273105E-5</v>
      </c>
      <c r="O52" s="107">
        <f>M52</f>
        <v>7.8823677858065673E-6</v>
      </c>
    </row>
    <row r="53" spans="1:27" x14ac:dyDescent="0.25">
      <c r="A53" s="20" t="str">
        <f t="shared" ref="A53:C53" si="17">A37</f>
        <v>MorayEastAsBuilt</v>
      </c>
      <c r="B53" t="str">
        <f t="shared" si="17"/>
        <v>Kittiwake</v>
      </c>
      <c r="C53">
        <f t="shared" si="17"/>
        <v>60</v>
      </c>
      <c r="D53" s="62">
        <f t="shared" ref="D53:D54" si="18">SUM(G44:K44)</f>
        <v>1.6582505131999998</v>
      </c>
      <c r="E53" s="53">
        <f t="shared" ref="E53:E54" si="19">SUM(L44:O44)</f>
        <v>2.2882444699999997E-2</v>
      </c>
      <c r="F53" s="53">
        <f t="shared" ref="F53:F54" si="20">SUM(D44:F44)</f>
        <v>0.18820903919999998</v>
      </c>
      <c r="G53" s="54">
        <f t="shared" ref="G53:G54" si="21">SUM(D44:O44)</f>
        <v>1.8693419971</v>
      </c>
      <c r="H53" s="62">
        <f>$S$5*D53</f>
        <v>1.5703632360003998</v>
      </c>
      <c r="I53" s="54">
        <f t="shared" ref="I53:I54" si="22">$V$5*D53</f>
        <v>8.7887277199600072E-2</v>
      </c>
      <c r="J53" s="62">
        <f t="shared" ref="J53:J54" si="23">$S$9*(E53+F53)</f>
        <v>0.12665489033999999</v>
      </c>
      <c r="K53" s="54">
        <f t="shared" ref="K53:K54" si="24">$V$9*(E53+F53)</f>
        <v>8.4436593559999995E-2</v>
      </c>
      <c r="L53" s="108">
        <f t="shared" ref="L53:L54" si="25">(H53+J53)/$R$9</f>
        <v>1.522535552072851E-4</v>
      </c>
      <c r="M53" s="110">
        <f t="shared" ref="M53:M54" si="26">(I53+K53)/$U$9</f>
        <v>2.3190903116759382E-5</v>
      </c>
      <c r="N53" s="108">
        <f>L53*0.9</f>
        <v>1.370281996865566E-4</v>
      </c>
      <c r="O53" s="110">
        <f>M53</f>
        <v>2.3190903116759382E-5</v>
      </c>
    </row>
    <row r="54" spans="1:27" x14ac:dyDescent="0.25">
      <c r="A54" s="21" t="str">
        <f t="shared" ref="A54:C54" si="27">A38</f>
        <v>MorayWestAsBuilt</v>
      </c>
      <c r="B54" s="22" t="str">
        <f t="shared" si="27"/>
        <v>Kittiwake</v>
      </c>
      <c r="C54" s="22">
        <f t="shared" si="27"/>
        <v>100</v>
      </c>
      <c r="D54" s="61">
        <f t="shared" si="18"/>
        <v>1.10139711</v>
      </c>
      <c r="E54" s="55">
        <f t="shared" si="19"/>
        <v>0.2009867213</v>
      </c>
      <c r="F54" s="55">
        <f t="shared" si="20"/>
        <v>0.85707260799999996</v>
      </c>
      <c r="G54" s="56">
        <f t="shared" si="21"/>
        <v>2.1594564393</v>
      </c>
      <c r="H54" s="61">
        <f t="shared" ref="H54" si="28">$S$5*D54</f>
        <v>1.0430230631699999</v>
      </c>
      <c r="I54" s="56">
        <f t="shared" si="22"/>
        <v>5.8374046830000047E-2</v>
      </c>
      <c r="J54" s="61">
        <f t="shared" si="23"/>
        <v>0.63483559757999997</v>
      </c>
      <c r="K54" s="56">
        <f t="shared" si="24"/>
        <v>0.42322373172000005</v>
      </c>
      <c r="L54" s="111">
        <f t="shared" si="25"/>
        <v>1.505346008209223E-4</v>
      </c>
      <c r="M54" s="25">
        <f t="shared" si="26"/>
        <v>6.4812189828189479E-5</v>
      </c>
      <c r="N54" s="111">
        <f>L54*0.9</f>
        <v>1.3548114073883008E-4</v>
      </c>
      <c r="O54" s="25">
        <f>M54</f>
        <v>6.4812189828189479E-5</v>
      </c>
    </row>
    <row r="55" spans="1:27" x14ac:dyDescent="0.25">
      <c r="K55" s="112" t="s">
        <v>175</v>
      </c>
      <c r="L55" s="113">
        <f>SUM(L52:L54)</f>
        <v>3.2859756361295527E-4</v>
      </c>
      <c r="M55" s="114">
        <f>SUM(M52:M54)</f>
        <v>9.5885460730755421E-5</v>
      </c>
      <c r="N55" s="113">
        <f>SUM(N52:N54)</f>
        <v>2.957378072516598E-4</v>
      </c>
      <c r="O55" s="114">
        <f>SUM(O52:O54)</f>
        <v>9.5885460730755421E-5</v>
      </c>
    </row>
    <row r="59" spans="1:27" x14ac:dyDescent="0.25">
      <c r="A59" s="22"/>
      <c r="B59" s="22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</row>
    <row r="61" spans="1:27" x14ac:dyDescent="0.25">
      <c r="A61" t="s">
        <v>235</v>
      </c>
    </row>
    <row r="63" spans="1:27" x14ac:dyDescent="0.25">
      <c r="A63" s="123"/>
      <c r="B63" s="122" t="s">
        <v>205</v>
      </c>
      <c r="C63" s="122" t="s">
        <v>206</v>
      </c>
      <c r="D63" s="122" t="s">
        <v>199</v>
      </c>
      <c r="E63" s="124" t="s">
        <v>208</v>
      </c>
      <c r="F63" s="122" t="s">
        <v>207</v>
      </c>
      <c r="G63" s="122" t="s">
        <v>209</v>
      </c>
      <c r="H63" s="125" t="s">
        <v>210</v>
      </c>
    </row>
    <row r="64" spans="1:27" x14ac:dyDescent="0.25">
      <c r="A64" s="20" t="s">
        <v>204</v>
      </c>
      <c r="B64" t="s">
        <v>182</v>
      </c>
      <c r="C64">
        <v>0.98899999999999999</v>
      </c>
      <c r="D64" s="116">
        <v>6.32</v>
      </c>
      <c r="E64" s="117">
        <v>10.199999999999999</v>
      </c>
      <c r="F64" t="s">
        <v>100</v>
      </c>
      <c r="G64" t="s">
        <v>100</v>
      </c>
      <c r="H64" s="1" t="s">
        <v>100</v>
      </c>
    </row>
    <row r="65" spans="1:8" x14ac:dyDescent="0.25">
      <c r="A65" s="20" t="s">
        <v>204</v>
      </c>
      <c r="B65" t="s">
        <v>203</v>
      </c>
      <c r="C65">
        <v>0.98899999999999999</v>
      </c>
      <c r="D65" s="116">
        <v>3.16</v>
      </c>
      <c r="E65" s="117">
        <v>5.09</v>
      </c>
      <c r="F65" t="s">
        <v>100</v>
      </c>
      <c r="G65" t="s">
        <v>100</v>
      </c>
      <c r="H65" s="1" t="s">
        <v>100</v>
      </c>
    </row>
    <row r="66" spans="1:8" x14ac:dyDescent="0.25">
      <c r="A66" s="20" t="s">
        <v>204</v>
      </c>
      <c r="B66" t="s">
        <v>182</v>
      </c>
      <c r="C66">
        <v>0.99199999999999999</v>
      </c>
      <c r="D66" s="53">
        <f>D64/(1-0.989)*(1-0.992)</f>
        <v>4.5963636363636367</v>
      </c>
      <c r="E66" s="118">
        <f>E64-D64+D66</f>
        <v>8.4763636363636365</v>
      </c>
      <c r="F66">
        <v>11146</v>
      </c>
      <c r="G66" s="126">
        <f>D66/F66</f>
        <v>4.1237786078984718E-4</v>
      </c>
      <c r="H66" s="85">
        <f>E66/F66</f>
        <v>7.6048480498507411E-4</v>
      </c>
    </row>
    <row r="67" spans="1:8" x14ac:dyDescent="0.25">
      <c r="A67" s="21" t="s">
        <v>204</v>
      </c>
      <c r="B67" s="22" t="s">
        <v>203</v>
      </c>
      <c r="C67" s="22">
        <v>0.99199999999999999</v>
      </c>
      <c r="D67" s="55">
        <f>D65/(1-0.989)*(1-0.992)</f>
        <v>2.2981818181818183</v>
      </c>
      <c r="E67" s="119">
        <f>E65-D65+D67</f>
        <v>4.2281818181818185</v>
      </c>
      <c r="F67" s="22">
        <v>7431</v>
      </c>
      <c r="G67" s="120">
        <f>D67/F67</f>
        <v>3.0926952202688985E-4</v>
      </c>
      <c r="H67" s="121">
        <f>E67/F67</f>
        <v>5.6899230496323754E-4</v>
      </c>
    </row>
  </sheetData>
  <mergeCells count="34">
    <mergeCell ref="N49:O49"/>
    <mergeCell ref="N50:N51"/>
    <mergeCell ref="O50:O51"/>
    <mergeCell ref="L23:M23"/>
    <mergeCell ref="L24:L25"/>
    <mergeCell ref="M24:M25"/>
    <mergeCell ref="N23:O23"/>
    <mergeCell ref="N24:N25"/>
    <mergeCell ref="O24:O25"/>
    <mergeCell ref="L49:M49"/>
    <mergeCell ref="D50:D51"/>
    <mergeCell ref="E50:E51"/>
    <mergeCell ref="F50:F51"/>
    <mergeCell ref="G50:G51"/>
    <mergeCell ref="H50:I50"/>
    <mergeCell ref="J50:K50"/>
    <mergeCell ref="L50:L51"/>
    <mergeCell ref="M50:M51"/>
    <mergeCell ref="A49:A51"/>
    <mergeCell ref="B49:B51"/>
    <mergeCell ref="C49:C51"/>
    <mergeCell ref="D49:G49"/>
    <mergeCell ref="H24:I24"/>
    <mergeCell ref="D24:D25"/>
    <mergeCell ref="E24:E25"/>
    <mergeCell ref="F24:F25"/>
    <mergeCell ref="G24:G25"/>
    <mergeCell ref="A23:A25"/>
    <mergeCell ref="B23:B25"/>
    <mergeCell ref="C23:C25"/>
    <mergeCell ref="D23:G23"/>
    <mergeCell ref="H49:K49"/>
    <mergeCell ref="J24:K24"/>
    <mergeCell ref="H23:K2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CDE755-654E-498D-A928-41C063631BDC}">
  <dimension ref="B1:K60"/>
  <sheetViews>
    <sheetView workbookViewId="0">
      <selection activeCell="E47" sqref="E47"/>
    </sheetView>
  </sheetViews>
  <sheetFormatPr defaultRowHeight="15" x14ac:dyDescent="0.25"/>
  <cols>
    <col min="1" max="1" width="3.42578125" customWidth="1"/>
    <col min="2" max="2" width="32" customWidth="1"/>
    <col min="3" max="3" width="29.28515625" customWidth="1"/>
    <col min="4" max="11" width="11.28515625" customWidth="1"/>
  </cols>
  <sheetData>
    <row r="1" spans="2:11" ht="15.75" thickBot="1" x14ac:dyDescent="0.3"/>
    <row r="2" spans="2:11" ht="15.75" thickBot="1" x14ac:dyDescent="0.3">
      <c r="B2" s="192" t="s">
        <v>87</v>
      </c>
      <c r="C2" s="195" t="s">
        <v>88</v>
      </c>
      <c r="D2" s="198" t="s">
        <v>89</v>
      </c>
      <c r="E2" s="199"/>
      <c r="F2" s="199"/>
      <c r="G2" s="200"/>
      <c r="H2" s="198" t="s">
        <v>90</v>
      </c>
      <c r="I2" s="199"/>
      <c r="J2" s="199"/>
      <c r="K2" s="200"/>
    </row>
    <row r="3" spans="2:11" x14ac:dyDescent="0.25">
      <c r="B3" s="193"/>
      <c r="C3" s="196"/>
      <c r="D3" s="127" t="s">
        <v>91</v>
      </c>
      <c r="E3" s="24" t="s">
        <v>92</v>
      </c>
      <c r="F3" s="24" t="s">
        <v>92</v>
      </c>
      <c r="G3" s="195" t="s">
        <v>213</v>
      </c>
      <c r="H3" s="127" t="s">
        <v>91</v>
      </c>
      <c r="I3" s="24" t="s">
        <v>92</v>
      </c>
      <c r="J3" s="24" t="s">
        <v>92</v>
      </c>
      <c r="K3" s="195" t="s">
        <v>213</v>
      </c>
    </row>
    <row r="4" spans="2:11" ht="15.75" thickBot="1" x14ac:dyDescent="0.3">
      <c r="B4" s="194"/>
      <c r="C4" s="197"/>
      <c r="D4" s="128" t="s">
        <v>93</v>
      </c>
      <c r="E4" s="129" t="s">
        <v>94</v>
      </c>
      <c r="F4" s="129" t="s">
        <v>95</v>
      </c>
      <c r="G4" s="197"/>
      <c r="H4" s="128" t="s">
        <v>93</v>
      </c>
      <c r="I4" s="129" t="s">
        <v>94</v>
      </c>
      <c r="J4" s="129" t="s">
        <v>95</v>
      </c>
      <c r="K4" s="197"/>
    </row>
    <row r="5" spans="2:11" ht="15.75" thickBot="1" x14ac:dyDescent="0.3">
      <c r="B5" s="130" t="s">
        <v>96</v>
      </c>
      <c r="C5" s="131" t="s">
        <v>95</v>
      </c>
      <c r="D5" s="132">
        <v>2.2999999999999998</v>
      </c>
      <c r="E5" s="131">
        <v>2</v>
      </c>
      <c r="F5" s="131">
        <v>2.2999999999999998</v>
      </c>
      <c r="G5" s="131">
        <v>1.8</v>
      </c>
      <c r="H5" s="132">
        <v>1.4</v>
      </c>
      <c r="I5" s="131">
        <v>1.8</v>
      </c>
      <c r="J5" s="131">
        <v>1.8</v>
      </c>
      <c r="K5" s="131">
        <v>1.5</v>
      </c>
    </row>
    <row r="6" spans="2:11" ht="15.75" thickBot="1" x14ac:dyDescent="0.3">
      <c r="B6" s="133" t="s">
        <v>97</v>
      </c>
      <c r="C6" s="134">
        <v>42052</v>
      </c>
      <c r="D6" s="135">
        <v>135</v>
      </c>
      <c r="E6" s="136">
        <v>137</v>
      </c>
      <c r="F6" s="136">
        <v>136.69999999999999</v>
      </c>
      <c r="G6" s="136">
        <v>109.3</v>
      </c>
      <c r="H6" s="135">
        <v>295.39999999999998</v>
      </c>
      <c r="I6" s="136">
        <v>359.7</v>
      </c>
      <c r="J6" s="136">
        <v>359.7</v>
      </c>
      <c r="K6" s="136">
        <v>314.8</v>
      </c>
    </row>
    <row r="7" spans="2:11" ht="15.75" thickBot="1" x14ac:dyDescent="0.3">
      <c r="B7" s="133" t="s">
        <v>98</v>
      </c>
      <c r="C7" s="134">
        <v>42221</v>
      </c>
      <c r="D7" s="135">
        <v>90.7</v>
      </c>
      <c r="E7" s="137">
        <v>90.7</v>
      </c>
      <c r="F7" s="137">
        <v>90.7</v>
      </c>
      <c r="G7" s="137">
        <v>90.7</v>
      </c>
      <c r="H7" s="135">
        <v>216.9</v>
      </c>
      <c r="I7" s="137">
        <v>216.9</v>
      </c>
      <c r="J7" s="137">
        <v>216.9</v>
      </c>
      <c r="K7" s="137">
        <v>216.9</v>
      </c>
    </row>
    <row r="8" spans="2:11" ht="15.75" thickBot="1" x14ac:dyDescent="0.3">
      <c r="B8" s="130" t="s">
        <v>99</v>
      </c>
      <c r="C8" s="131" t="s">
        <v>95</v>
      </c>
      <c r="D8" s="132" t="s">
        <v>100</v>
      </c>
      <c r="E8" s="131" t="s">
        <v>100</v>
      </c>
      <c r="F8" s="131" t="s">
        <v>100</v>
      </c>
      <c r="G8" s="131" t="s">
        <v>100</v>
      </c>
      <c r="H8" s="132" t="s">
        <v>100</v>
      </c>
      <c r="I8" s="131" t="s">
        <v>100</v>
      </c>
      <c r="J8" s="131" t="s">
        <v>100</v>
      </c>
      <c r="K8" s="131" t="s">
        <v>100</v>
      </c>
    </row>
    <row r="9" spans="2:11" ht="15.75" thickBot="1" x14ac:dyDescent="0.3">
      <c r="B9" s="138" t="s">
        <v>101</v>
      </c>
      <c r="C9" s="139" t="s">
        <v>102</v>
      </c>
      <c r="D9" s="140">
        <v>8.6</v>
      </c>
      <c r="E9" s="141">
        <v>8.6</v>
      </c>
      <c r="F9" s="141">
        <v>8.6</v>
      </c>
      <c r="G9" s="141">
        <v>8.6</v>
      </c>
      <c r="H9" s="140">
        <v>2.2000000000000002</v>
      </c>
      <c r="I9" s="141">
        <v>2.2000000000000002</v>
      </c>
      <c r="J9" s="141">
        <v>2.2000000000000002</v>
      </c>
      <c r="K9" s="141">
        <v>2.2000000000000002</v>
      </c>
    </row>
    <row r="10" spans="2:11" ht="15.75" thickBot="1" x14ac:dyDescent="0.3">
      <c r="B10" s="130" t="s">
        <v>103</v>
      </c>
      <c r="C10" s="131" t="s">
        <v>95</v>
      </c>
      <c r="D10" s="132">
        <v>160.4</v>
      </c>
      <c r="E10" s="131">
        <v>137</v>
      </c>
      <c r="F10" s="131">
        <v>61.5</v>
      </c>
      <c r="G10" s="131">
        <v>49.2</v>
      </c>
      <c r="H10" s="132">
        <v>46.8</v>
      </c>
      <c r="I10" s="131">
        <v>71</v>
      </c>
      <c r="J10" s="131">
        <v>18</v>
      </c>
      <c r="K10" s="131">
        <v>15.8</v>
      </c>
    </row>
    <row r="11" spans="2:11" ht="15.75" thickBot="1" x14ac:dyDescent="0.3">
      <c r="B11" s="138" t="s">
        <v>104</v>
      </c>
      <c r="C11" s="142">
        <v>44651</v>
      </c>
      <c r="D11" s="140">
        <v>8.1</v>
      </c>
      <c r="E11" s="141">
        <v>8.1</v>
      </c>
      <c r="F11" s="141">
        <v>8.1</v>
      </c>
      <c r="G11" s="141">
        <v>8.1</v>
      </c>
      <c r="H11" s="140">
        <v>3.5</v>
      </c>
      <c r="I11" s="141">
        <v>3.5</v>
      </c>
      <c r="J11" s="141">
        <v>3.5</v>
      </c>
      <c r="K11" s="141">
        <v>3.5</v>
      </c>
    </row>
    <row r="12" spans="2:11" ht="15.75" thickBot="1" x14ac:dyDescent="0.3">
      <c r="B12" s="138" t="s">
        <v>105</v>
      </c>
      <c r="C12" s="142">
        <v>44651</v>
      </c>
      <c r="D12" s="140">
        <v>5.4</v>
      </c>
      <c r="E12" s="141">
        <v>5.4</v>
      </c>
      <c r="F12" s="141">
        <v>5.4</v>
      </c>
      <c r="G12" s="141">
        <v>5.4</v>
      </c>
      <c r="H12" s="140">
        <v>7.4</v>
      </c>
      <c r="I12" s="141">
        <v>7.4</v>
      </c>
      <c r="J12" s="141">
        <v>7.4</v>
      </c>
      <c r="K12" s="141">
        <v>7.4</v>
      </c>
    </row>
    <row r="13" spans="2:11" ht="15.75" thickBot="1" x14ac:dyDescent="0.3">
      <c r="B13" s="133" t="s">
        <v>106</v>
      </c>
      <c r="C13" s="134">
        <v>42954</v>
      </c>
      <c r="D13" s="135">
        <v>56.5</v>
      </c>
      <c r="E13" s="136">
        <v>69</v>
      </c>
      <c r="F13" s="136">
        <v>69</v>
      </c>
      <c r="G13" s="136">
        <v>55.2</v>
      </c>
      <c r="H13" s="135">
        <v>30.8</v>
      </c>
      <c r="I13" s="136">
        <v>49</v>
      </c>
      <c r="J13" s="136">
        <v>37.6</v>
      </c>
      <c r="K13" s="136">
        <v>32.9</v>
      </c>
    </row>
    <row r="14" spans="2:11" ht="15.75" thickBot="1" x14ac:dyDescent="0.3">
      <c r="B14" s="143" t="s">
        <v>107</v>
      </c>
      <c r="C14" s="144" t="s">
        <v>95</v>
      </c>
      <c r="D14" s="145">
        <v>5.8</v>
      </c>
      <c r="E14" s="144">
        <v>6</v>
      </c>
      <c r="F14" s="144">
        <v>4.5</v>
      </c>
      <c r="G14" s="146">
        <v>3.6</v>
      </c>
      <c r="H14" s="145">
        <v>1.1000000000000001</v>
      </c>
      <c r="I14" s="144">
        <v>1.1000000000000001</v>
      </c>
      <c r="J14" s="144">
        <v>0.8</v>
      </c>
      <c r="K14" s="144">
        <v>0.7</v>
      </c>
    </row>
    <row r="15" spans="2:11" ht="15.75" thickBot="1" x14ac:dyDescent="0.3">
      <c r="B15" s="143" t="s">
        <v>108</v>
      </c>
      <c r="C15" s="147">
        <v>44999</v>
      </c>
      <c r="D15" s="145">
        <v>0</v>
      </c>
      <c r="E15" s="144">
        <v>0</v>
      </c>
      <c r="F15" s="144">
        <v>0</v>
      </c>
      <c r="G15" s="144">
        <v>0</v>
      </c>
      <c r="H15" s="145">
        <v>0</v>
      </c>
      <c r="I15" s="144">
        <v>0</v>
      </c>
      <c r="J15" s="144">
        <v>0</v>
      </c>
      <c r="K15" s="144">
        <v>0</v>
      </c>
    </row>
    <row r="16" spans="2:11" ht="15.75" thickBot="1" x14ac:dyDescent="0.3">
      <c r="B16" s="130" t="s">
        <v>109</v>
      </c>
      <c r="C16" s="131" t="s">
        <v>95</v>
      </c>
      <c r="D16" s="132">
        <v>27.8</v>
      </c>
      <c r="E16" s="131">
        <v>28</v>
      </c>
      <c r="F16" s="131">
        <v>11.7</v>
      </c>
      <c r="G16" s="131">
        <v>9.3000000000000007</v>
      </c>
      <c r="H16" s="132">
        <v>31.8</v>
      </c>
      <c r="I16" s="131">
        <v>31.8</v>
      </c>
      <c r="J16" s="131">
        <v>13.3</v>
      </c>
      <c r="K16" s="131">
        <v>11.7</v>
      </c>
    </row>
    <row r="17" spans="2:11" ht="15.75" thickBot="1" x14ac:dyDescent="0.3">
      <c r="B17" s="130" t="s">
        <v>110</v>
      </c>
      <c r="C17" s="131" t="s">
        <v>95</v>
      </c>
      <c r="D17" s="132">
        <v>15</v>
      </c>
      <c r="E17" s="131">
        <v>15</v>
      </c>
      <c r="F17" s="131">
        <v>16</v>
      </c>
      <c r="G17" s="131">
        <v>12.8</v>
      </c>
      <c r="H17" s="132">
        <v>11.4</v>
      </c>
      <c r="I17" s="131">
        <v>11.4</v>
      </c>
      <c r="J17" s="131">
        <v>12.1</v>
      </c>
      <c r="K17" s="131">
        <v>10.6</v>
      </c>
    </row>
    <row r="18" spans="2:11" ht="15.75" thickBot="1" x14ac:dyDescent="0.3">
      <c r="B18" s="130" t="s">
        <v>111</v>
      </c>
      <c r="C18" s="131" t="s">
        <v>95</v>
      </c>
      <c r="D18" s="132" t="s">
        <v>100</v>
      </c>
      <c r="E18" s="131" t="s">
        <v>100</v>
      </c>
      <c r="F18" s="131" t="s">
        <v>100</v>
      </c>
      <c r="G18" s="131" t="s">
        <v>100</v>
      </c>
      <c r="H18" s="132" t="s">
        <v>100</v>
      </c>
      <c r="I18" s="131" t="s">
        <v>100</v>
      </c>
      <c r="J18" s="131" t="s">
        <v>100</v>
      </c>
      <c r="K18" s="131" t="s">
        <v>100</v>
      </c>
    </row>
    <row r="19" spans="2:11" ht="15.75" thickBot="1" x14ac:dyDescent="0.3">
      <c r="B19" s="148" t="s">
        <v>112</v>
      </c>
      <c r="C19" s="149" t="s">
        <v>95</v>
      </c>
      <c r="D19" s="150">
        <v>55.9</v>
      </c>
      <c r="E19" s="149">
        <v>54</v>
      </c>
      <c r="F19" s="149">
        <v>32.200000000000003</v>
      </c>
      <c r="G19" s="149">
        <v>25.8</v>
      </c>
      <c r="H19" s="150">
        <v>20.9</v>
      </c>
      <c r="I19" s="149">
        <v>24.7</v>
      </c>
      <c r="J19" s="149">
        <v>14.8</v>
      </c>
      <c r="K19" s="149">
        <v>12.9</v>
      </c>
    </row>
    <row r="20" spans="2:11" ht="15.75" thickBot="1" x14ac:dyDescent="0.3">
      <c r="B20" s="133" t="s">
        <v>113</v>
      </c>
      <c r="C20" s="136" t="s">
        <v>95</v>
      </c>
      <c r="D20" s="135">
        <v>9</v>
      </c>
      <c r="E20" s="136">
        <v>8</v>
      </c>
      <c r="F20" s="136">
        <v>8.4</v>
      </c>
      <c r="G20" s="136">
        <v>6.7</v>
      </c>
      <c r="H20" s="135">
        <v>3</v>
      </c>
      <c r="I20" s="136">
        <v>19</v>
      </c>
      <c r="J20" s="136">
        <v>5.7</v>
      </c>
      <c r="K20" s="136">
        <v>5</v>
      </c>
    </row>
    <row r="21" spans="2:11" ht="15.75" thickBot="1" x14ac:dyDescent="0.3">
      <c r="B21" s="138" t="s">
        <v>114</v>
      </c>
      <c r="C21" s="142">
        <v>44196</v>
      </c>
      <c r="D21" s="140">
        <v>6</v>
      </c>
      <c r="E21" s="141">
        <v>6</v>
      </c>
      <c r="F21" s="141">
        <v>6</v>
      </c>
      <c r="G21" s="141">
        <v>6</v>
      </c>
      <c r="H21" s="140">
        <v>3</v>
      </c>
      <c r="I21" s="141">
        <v>3</v>
      </c>
      <c r="J21" s="141">
        <v>3</v>
      </c>
      <c r="K21" s="141">
        <v>3</v>
      </c>
    </row>
    <row r="22" spans="2:11" ht="15.75" thickBot="1" x14ac:dyDescent="0.3">
      <c r="B22" s="138" t="s">
        <v>115</v>
      </c>
      <c r="C22" s="142">
        <v>45119</v>
      </c>
      <c r="D22" s="140">
        <v>38.4</v>
      </c>
      <c r="E22" s="141">
        <v>38.4</v>
      </c>
      <c r="F22" s="141">
        <v>38.4</v>
      </c>
      <c r="G22" s="141">
        <v>38.4</v>
      </c>
      <c r="H22" s="140">
        <v>25.1</v>
      </c>
      <c r="I22" s="141">
        <v>25.1</v>
      </c>
      <c r="J22" s="141">
        <v>25.1</v>
      </c>
      <c r="K22" s="141">
        <v>25.1</v>
      </c>
    </row>
    <row r="23" spans="2:11" ht="15.75" thickBot="1" x14ac:dyDescent="0.3">
      <c r="B23" s="130" t="s">
        <v>116</v>
      </c>
      <c r="C23" s="131" t="s">
        <v>95</v>
      </c>
      <c r="D23" s="132">
        <v>3.2</v>
      </c>
      <c r="E23" s="131">
        <v>3.2</v>
      </c>
      <c r="F23" s="131">
        <v>1.3</v>
      </c>
      <c r="G23" s="131">
        <v>1</v>
      </c>
      <c r="H23" s="132">
        <v>1.9</v>
      </c>
      <c r="I23" s="131">
        <v>2.6</v>
      </c>
      <c r="J23" s="131">
        <v>1</v>
      </c>
      <c r="K23" s="131">
        <v>0.9</v>
      </c>
    </row>
    <row r="24" spans="2:11" ht="15.75" thickBot="1" x14ac:dyDescent="0.3">
      <c r="B24" s="143" t="s">
        <v>117</v>
      </c>
      <c r="C24" s="144" t="s">
        <v>95</v>
      </c>
      <c r="D24" s="145">
        <v>0.9</v>
      </c>
      <c r="E24" s="146">
        <v>0.9</v>
      </c>
      <c r="F24" s="146">
        <v>0.9</v>
      </c>
      <c r="G24" s="146">
        <v>0.9</v>
      </c>
      <c r="H24" s="145">
        <v>0.9</v>
      </c>
      <c r="I24" s="146">
        <v>0.9</v>
      </c>
      <c r="J24" s="146">
        <v>0.9</v>
      </c>
      <c r="K24" s="146">
        <v>0.9</v>
      </c>
    </row>
    <row r="25" spans="2:11" ht="15.75" thickBot="1" x14ac:dyDescent="0.3">
      <c r="B25" s="143" t="s">
        <v>118</v>
      </c>
      <c r="C25" s="147">
        <v>43633</v>
      </c>
      <c r="D25" s="145">
        <v>224.8</v>
      </c>
      <c r="E25" s="144">
        <v>26</v>
      </c>
      <c r="F25" s="144">
        <v>26</v>
      </c>
      <c r="G25" s="144">
        <v>26</v>
      </c>
      <c r="H25" s="145">
        <v>63.5</v>
      </c>
      <c r="I25" s="144">
        <v>6</v>
      </c>
      <c r="J25" s="144">
        <v>6</v>
      </c>
      <c r="K25" s="144">
        <v>6</v>
      </c>
    </row>
    <row r="26" spans="2:11" ht="15.75" thickBot="1" x14ac:dyDescent="0.3">
      <c r="B26" s="130" t="s">
        <v>119</v>
      </c>
      <c r="C26" s="131" t="s">
        <v>95</v>
      </c>
      <c r="D26" s="132">
        <v>0.9</v>
      </c>
      <c r="E26" s="151">
        <v>0.9</v>
      </c>
      <c r="F26" s="151">
        <v>0.9</v>
      </c>
      <c r="G26" s="151">
        <v>0.9</v>
      </c>
      <c r="H26" s="132">
        <v>0.7</v>
      </c>
      <c r="I26" s="151">
        <v>0.7</v>
      </c>
      <c r="J26" s="151">
        <v>0.7</v>
      </c>
      <c r="K26" s="151">
        <v>0.7</v>
      </c>
    </row>
    <row r="27" spans="2:11" ht="15.75" thickBot="1" x14ac:dyDescent="0.3">
      <c r="B27" s="130" t="s">
        <v>120</v>
      </c>
      <c r="C27" s="131" t="s">
        <v>95</v>
      </c>
      <c r="D27" s="132">
        <v>0</v>
      </c>
      <c r="E27" s="131">
        <v>0</v>
      </c>
      <c r="F27" s="131">
        <v>0</v>
      </c>
      <c r="G27" s="131">
        <v>0</v>
      </c>
      <c r="H27" s="132">
        <v>2.7</v>
      </c>
      <c r="I27" s="131">
        <v>0</v>
      </c>
      <c r="J27" s="131">
        <v>0</v>
      </c>
      <c r="K27" s="131">
        <v>0</v>
      </c>
    </row>
    <row r="28" spans="2:11" ht="15.75" thickBot="1" x14ac:dyDescent="0.3">
      <c r="B28" s="143" t="s">
        <v>121</v>
      </c>
      <c r="C28" s="144" t="s">
        <v>95</v>
      </c>
      <c r="D28" s="145">
        <v>9</v>
      </c>
      <c r="E28" s="146">
        <v>9</v>
      </c>
      <c r="F28" s="146">
        <v>9</v>
      </c>
      <c r="G28" s="146">
        <v>9</v>
      </c>
      <c r="H28" s="145">
        <v>1</v>
      </c>
      <c r="I28" s="146">
        <v>1</v>
      </c>
      <c r="J28" s="146">
        <v>1</v>
      </c>
      <c r="K28" s="146">
        <v>1</v>
      </c>
    </row>
    <row r="29" spans="2:11" ht="15.75" thickBot="1" x14ac:dyDescent="0.3">
      <c r="B29" s="130" t="s">
        <v>122</v>
      </c>
      <c r="C29" s="131" t="s">
        <v>95</v>
      </c>
      <c r="D29" s="132">
        <v>0.7</v>
      </c>
      <c r="E29" s="131">
        <v>1</v>
      </c>
      <c r="F29" s="131">
        <v>1.2</v>
      </c>
      <c r="G29" s="131">
        <v>1</v>
      </c>
      <c r="H29" s="132">
        <v>1.2</v>
      </c>
      <c r="I29" s="131">
        <v>0.9</v>
      </c>
      <c r="J29" s="131">
        <v>0.9</v>
      </c>
      <c r="K29" s="131">
        <v>0.8</v>
      </c>
    </row>
    <row r="30" spans="2:11" ht="15.75" thickBot="1" x14ac:dyDescent="0.3">
      <c r="B30" s="130" t="s">
        <v>123</v>
      </c>
      <c r="C30" s="131" t="s">
        <v>95</v>
      </c>
      <c r="D30" s="132">
        <v>2.2999999999999998</v>
      </c>
      <c r="E30" s="131">
        <v>2</v>
      </c>
      <c r="F30" s="131">
        <v>0.9</v>
      </c>
      <c r="G30" s="131">
        <v>0.7</v>
      </c>
      <c r="H30" s="132">
        <v>1.8</v>
      </c>
      <c r="I30" s="131">
        <v>1.8</v>
      </c>
      <c r="J30" s="131">
        <v>0.7</v>
      </c>
      <c r="K30" s="131">
        <v>0.6</v>
      </c>
    </row>
    <row r="31" spans="2:11" ht="15.75" thickBot="1" x14ac:dyDescent="0.3">
      <c r="B31" s="143" t="s">
        <v>124</v>
      </c>
      <c r="C31" s="144" t="s">
        <v>95</v>
      </c>
      <c r="D31" s="145">
        <v>0</v>
      </c>
      <c r="E31" s="146">
        <v>0</v>
      </c>
      <c r="F31" s="146">
        <v>0</v>
      </c>
      <c r="G31" s="146">
        <v>0</v>
      </c>
      <c r="H31" s="145">
        <v>0</v>
      </c>
      <c r="I31" s="146">
        <v>0</v>
      </c>
      <c r="J31" s="146">
        <v>0</v>
      </c>
      <c r="K31" s="146">
        <v>0</v>
      </c>
    </row>
    <row r="32" spans="2:11" ht="15.75" thickBot="1" x14ac:dyDescent="0.3">
      <c r="B32" s="143" t="s">
        <v>125</v>
      </c>
      <c r="C32" s="147">
        <v>43437</v>
      </c>
      <c r="D32" s="145">
        <v>56.1</v>
      </c>
      <c r="E32" s="144">
        <v>33</v>
      </c>
      <c r="F32" s="144">
        <v>33</v>
      </c>
      <c r="G32" s="144">
        <v>33</v>
      </c>
      <c r="H32" s="145">
        <v>4.4000000000000004</v>
      </c>
      <c r="I32" s="144">
        <v>3</v>
      </c>
      <c r="J32" s="144">
        <v>3</v>
      </c>
      <c r="K32" s="144">
        <v>3</v>
      </c>
    </row>
    <row r="33" spans="2:11" ht="15.75" thickBot="1" x14ac:dyDescent="0.3">
      <c r="B33" s="138" t="s">
        <v>126</v>
      </c>
      <c r="C33" s="142">
        <v>44540</v>
      </c>
      <c r="D33" s="140">
        <v>32.200000000000003</v>
      </c>
      <c r="E33" s="141">
        <v>32.200000000000003</v>
      </c>
      <c r="F33" s="141">
        <v>32.200000000000003</v>
      </c>
      <c r="G33" s="141">
        <v>32.200000000000003</v>
      </c>
      <c r="H33" s="140">
        <v>11.9</v>
      </c>
      <c r="I33" s="141">
        <v>11.9</v>
      </c>
      <c r="J33" s="141">
        <v>11.9</v>
      </c>
      <c r="K33" s="141">
        <v>11.9</v>
      </c>
    </row>
    <row r="34" spans="2:11" ht="15.75" thickBot="1" x14ac:dyDescent="0.3">
      <c r="B34" s="138" t="s">
        <v>127</v>
      </c>
      <c r="C34" s="142">
        <v>44603</v>
      </c>
      <c r="D34" s="140">
        <v>16.399999999999999</v>
      </c>
      <c r="E34" s="141">
        <v>16.399999999999999</v>
      </c>
      <c r="F34" s="141">
        <v>16.399999999999999</v>
      </c>
      <c r="G34" s="141">
        <v>16.399999999999999</v>
      </c>
      <c r="H34" s="140">
        <v>19.3</v>
      </c>
      <c r="I34" s="141">
        <v>19.3</v>
      </c>
      <c r="J34" s="141">
        <v>19.3</v>
      </c>
      <c r="K34" s="141">
        <v>19.3</v>
      </c>
    </row>
    <row r="35" spans="2:11" ht="15.75" thickBot="1" x14ac:dyDescent="0.3">
      <c r="B35" s="130" t="s">
        <v>128</v>
      </c>
      <c r="C35" s="131" t="s">
        <v>95</v>
      </c>
      <c r="D35" s="132">
        <v>23.9</v>
      </c>
      <c r="E35" s="131">
        <v>24</v>
      </c>
      <c r="F35" s="131">
        <v>14.2</v>
      </c>
      <c r="G35" s="131">
        <v>11.3</v>
      </c>
      <c r="H35" s="132">
        <v>5.6</v>
      </c>
      <c r="I35" s="131">
        <v>5.6</v>
      </c>
      <c r="J35" s="131">
        <v>3.3</v>
      </c>
      <c r="K35" s="131">
        <v>2.9</v>
      </c>
    </row>
    <row r="36" spans="2:11" ht="15.75" thickBot="1" x14ac:dyDescent="0.3">
      <c r="B36" s="130" t="s">
        <v>129</v>
      </c>
      <c r="C36" s="131" t="s">
        <v>95</v>
      </c>
      <c r="D36" s="132">
        <v>0</v>
      </c>
      <c r="E36" s="131">
        <v>37</v>
      </c>
      <c r="F36" s="131">
        <v>25.6</v>
      </c>
      <c r="G36" s="131">
        <v>20.5</v>
      </c>
      <c r="H36" s="132">
        <v>0</v>
      </c>
      <c r="I36" s="131">
        <v>29.7</v>
      </c>
      <c r="J36" s="131">
        <v>20.3</v>
      </c>
      <c r="K36" s="131">
        <v>17.8</v>
      </c>
    </row>
    <row r="37" spans="2:11" ht="15.75" thickBot="1" x14ac:dyDescent="0.3">
      <c r="B37" s="130" t="s">
        <v>130</v>
      </c>
      <c r="C37" s="131" t="s">
        <v>95</v>
      </c>
      <c r="D37" s="132" t="s">
        <v>100</v>
      </c>
      <c r="E37" s="131" t="s">
        <v>100</v>
      </c>
      <c r="F37" s="131" t="s">
        <v>100</v>
      </c>
      <c r="G37" s="131" t="s">
        <v>100</v>
      </c>
      <c r="H37" s="132" t="s">
        <v>100</v>
      </c>
      <c r="I37" s="131" t="s">
        <v>100</v>
      </c>
      <c r="J37" s="131" t="s">
        <v>100</v>
      </c>
      <c r="K37" s="131" t="s">
        <v>100</v>
      </c>
    </row>
    <row r="38" spans="2:11" ht="15.75" thickBot="1" x14ac:dyDescent="0.3">
      <c r="B38" s="143" t="s">
        <v>131</v>
      </c>
      <c r="C38" s="144" t="s">
        <v>95</v>
      </c>
      <c r="D38" s="145">
        <v>313.10000000000002</v>
      </c>
      <c r="E38" s="144">
        <v>180</v>
      </c>
      <c r="F38" s="144">
        <v>180</v>
      </c>
      <c r="G38" s="144">
        <v>180</v>
      </c>
      <c r="H38" s="145">
        <v>247.6</v>
      </c>
      <c r="I38" s="144">
        <v>99</v>
      </c>
      <c r="J38" s="144">
        <v>99</v>
      </c>
      <c r="K38" s="144">
        <v>99</v>
      </c>
    </row>
    <row r="39" spans="2:11" ht="15.75" thickBot="1" x14ac:dyDescent="0.3">
      <c r="B39" s="130" t="s">
        <v>132</v>
      </c>
      <c r="C39" s="131" t="s">
        <v>95</v>
      </c>
      <c r="D39" s="132" t="s">
        <v>100</v>
      </c>
      <c r="E39" s="131" t="s">
        <v>100</v>
      </c>
      <c r="F39" s="131" t="s">
        <v>100</v>
      </c>
      <c r="G39" s="131" t="s">
        <v>100</v>
      </c>
      <c r="H39" s="132" t="s">
        <v>100</v>
      </c>
      <c r="I39" s="131" t="s">
        <v>100</v>
      </c>
      <c r="J39" s="131" t="s">
        <v>100</v>
      </c>
      <c r="K39" s="131" t="s">
        <v>100</v>
      </c>
    </row>
    <row r="40" spans="2:11" ht="15.75" thickBot="1" x14ac:dyDescent="0.3">
      <c r="B40" s="138" t="s">
        <v>133</v>
      </c>
      <c r="C40" s="139" t="s">
        <v>102</v>
      </c>
      <c r="D40" s="140">
        <v>1.9</v>
      </c>
      <c r="E40" s="141">
        <v>1.9</v>
      </c>
      <c r="F40" s="141">
        <v>1.9</v>
      </c>
      <c r="G40" s="141">
        <v>1.9</v>
      </c>
      <c r="H40" s="140">
        <v>0</v>
      </c>
      <c r="I40" s="141">
        <v>0</v>
      </c>
      <c r="J40" s="141">
        <v>0</v>
      </c>
      <c r="K40" s="141">
        <v>0</v>
      </c>
    </row>
    <row r="41" spans="2:11" ht="15.75" thickBot="1" x14ac:dyDescent="0.3">
      <c r="B41" s="130" t="s">
        <v>134</v>
      </c>
      <c r="C41" s="131" t="s">
        <v>95</v>
      </c>
      <c r="D41" s="132">
        <v>24</v>
      </c>
      <c r="E41" s="131">
        <v>25</v>
      </c>
      <c r="F41" s="131">
        <v>17</v>
      </c>
      <c r="G41" s="131">
        <v>13.6</v>
      </c>
      <c r="H41" s="132">
        <v>2.5</v>
      </c>
      <c r="I41" s="131">
        <v>15</v>
      </c>
      <c r="J41" s="131">
        <v>10.6</v>
      </c>
      <c r="K41" s="131">
        <v>9.3000000000000007</v>
      </c>
    </row>
    <row r="42" spans="2:11" ht="15.75" thickBot="1" x14ac:dyDescent="0.3">
      <c r="B42" s="130" t="s">
        <v>135</v>
      </c>
      <c r="C42" s="131" t="s">
        <v>95</v>
      </c>
      <c r="D42" s="132">
        <v>0.5</v>
      </c>
      <c r="E42" s="131">
        <v>0</v>
      </c>
      <c r="F42" s="131">
        <v>0.2</v>
      </c>
      <c r="G42" s="131">
        <v>0.1</v>
      </c>
      <c r="H42" s="132">
        <v>0.4</v>
      </c>
      <c r="I42" s="131">
        <v>0.4</v>
      </c>
      <c r="J42" s="131">
        <v>0.2</v>
      </c>
      <c r="K42" s="131">
        <v>0.2</v>
      </c>
    </row>
    <row r="43" spans="2:11" ht="15.75" thickBot="1" x14ac:dyDescent="0.3">
      <c r="B43" s="130" t="s">
        <v>136</v>
      </c>
      <c r="C43" s="131" t="s">
        <v>95</v>
      </c>
      <c r="D43" s="132">
        <v>139</v>
      </c>
      <c r="E43" s="131">
        <v>139</v>
      </c>
      <c r="F43" s="131">
        <v>47.2</v>
      </c>
      <c r="G43" s="131">
        <v>37.700000000000003</v>
      </c>
      <c r="H43" s="132">
        <v>45.4</v>
      </c>
      <c r="I43" s="131">
        <v>50.2</v>
      </c>
      <c r="J43" s="131">
        <v>17.100000000000001</v>
      </c>
      <c r="K43" s="131">
        <v>14.9</v>
      </c>
    </row>
    <row r="44" spans="2:11" ht="15.75" thickBot="1" x14ac:dyDescent="0.3">
      <c r="B44" s="130" t="s">
        <v>137</v>
      </c>
      <c r="C44" s="131" t="s">
        <v>95</v>
      </c>
      <c r="D44" s="132">
        <v>0.2</v>
      </c>
      <c r="E44" s="131">
        <v>0</v>
      </c>
      <c r="F44" s="131">
        <v>0.2</v>
      </c>
      <c r="G44" s="131">
        <v>0.1</v>
      </c>
      <c r="H44" s="132">
        <v>0.1</v>
      </c>
      <c r="I44" s="131">
        <v>0.2</v>
      </c>
      <c r="J44" s="131">
        <v>0.2</v>
      </c>
      <c r="K44" s="131">
        <v>0.2</v>
      </c>
    </row>
    <row r="45" spans="2:11" ht="15.75" thickBot="1" x14ac:dyDescent="0.3">
      <c r="B45" s="201" t="s">
        <v>214</v>
      </c>
      <c r="C45" s="202"/>
      <c r="D45" s="152">
        <f>SUM(D5:D13,D16:D23,D26:D27,D29:D30,D33:D37,D39:D44)</f>
        <v>864.30000000000007</v>
      </c>
      <c r="E45" s="152">
        <f t="shared" ref="E45:K45" si="0">SUM(E5:E13,E16:E23,E26:E27,E29:E30,E33:E37,E39:E44)</f>
        <v>889.8</v>
      </c>
      <c r="F45" s="152">
        <f t="shared" si="0"/>
        <v>654.20000000000005</v>
      </c>
      <c r="G45" s="152">
        <f t="shared" si="0"/>
        <v>564.70000000000005</v>
      </c>
      <c r="H45" s="152">
        <f t="shared" si="0"/>
        <v>793.0999999999998</v>
      </c>
      <c r="I45" s="152">
        <f t="shared" si="0"/>
        <v>964.80000000000007</v>
      </c>
      <c r="J45" s="152">
        <f t="shared" si="0"/>
        <v>807.30000000000007</v>
      </c>
      <c r="K45" s="152">
        <f t="shared" si="0"/>
        <v>742.8</v>
      </c>
    </row>
    <row r="46" spans="2:11" ht="15.75" thickBot="1" x14ac:dyDescent="0.3">
      <c r="B46" s="201" t="s">
        <v>215</v>
      </c>
      <c r="C46" s="202"/>
      <c r="D46" s="152">
        <f>(D45/(1-0.989))*(1-0.992)</f>
        <v>628.58181818181822</v>
      </c>
      <c r="E46" s="152">
        <f t="shared" ref="E46:K46" si="1">(E45/(1-0.989))*(1-0.992)</f>
        <v>647.12727272727273</v>
      </c>
      <c r="F46" s="152">
        <f t="shared" si="1"/>
        <v>475.78181818181821</v>
      </c>
      <c r="G46" s="152">
        <f t="shared" si="1"/>
        <v>410.69090909090914</v>
      </c>
      <c r="H46" s="152">
        <f t="shared" si="1"/>
        <v>576.79999999999984</v>
      </c>
      <c r="I46" s="152">
        <f t="shared" si="1"/>
        <v>701.67272727272734</v>
      </c>
      <c r="J46" s="152">
        <f t="shared" si="1"/>
        <v>587.12727272727273</v>
      </c>
      <c r="K46" s="152">
        <f t="shared" si="1"/>
        <v>540.21818181818173</v>
      </c>
    </row>
    <row r="47" spans="2:11" ht="15.75" thickBot="1" x14ac:dyDescent="0.3">
      <c r="B47" s="201" t="s">
        <v>300</v>
      </c>
      <c r="C47" s="202"/>
      <c r="D47" s="152">
        <f>D46*0.6*0.9</f>
        <v>339.43418181818186</v>
      </c>
      <c r="E47" s="152">
        <f t="shared" ref="E47:K47" si="2">E46*0.6*0.9</f>
        <v>349.44872727272724</v>
      </c>
      <c r="F47" s="152">
        <f t="shared" si="2"/>
        <v>256.92218181818185</v>
      </c>
      <c r="G47" s="152">
        <f t="shared" si="2"/>
        <v>221.77309090909094</v>
      </c>
      <c r="H47" s="152">
        <f t="shared" si="2"/>
        <v>311.47199999999987</v>
      </c>
      <c r="I47" s="152">
        <f t="shared" si="2"/>
        <v>378.90327272727279</v>
      </c>
      <c r="J47" s="152">
        <f t="shared" si="2"/>
        <v>317.04872727272726</v>
      </c>
      <c r="K47" s="152">
        <f t="shared" si="2"/>
        <v>291.71781818181813</v>
      </c>
    </row>
    <row r="48" spans="2:11" ht="15.75" thickBot="1" x14ac:dyDescent="0.3">
      <c r="B48" s="201" t="s">
        <v>216</v>
      </c>
      <c r="C48" s="202"/>
      <c r="D48" s="152">
        <f>D46*0.4</f>
        <v>251.43272727272731</v>
      </c>
      <c r="E48" s="152">
        <f t="shared" ref="E48:K48" si="3">E46*0.4</f>
        <v>258.85090909090911</v>
      </c>
      <c r="F48" s="152">
        <f t="shared" si="3"/>
        <v>190.3127272727273</v>
      </c>
      <c r="G48" s="152">
        <f t="shared" si="3"/>
        <v>164.27636363636367</v>
      </c>
      <c r="H48" s="152">
        <f t="shared" si="3"/>
        <v>230.71999999999994</v>
      </c>
      <c r="I48" s="152">
        <f t="shared" si="3"/>
        <v>280.66909090909093</v>
      </c>
      <c r="J48" s="152">
        <f t="shared" si="3"/>
        <v>234.85090909090911</v>
      </c>
      <c r="K48" s="152">
        <f t="shared" si="3"/>
        <v>216.0872727272727</v>
      </c>
    </row>
    <row r="49" spans="2:11" ht="15.75" thickBot="1" x14ac:dyDescent="0.3">
      <c r="B49" s="190" t="s">
        <v>217</v>
      </c>
      <c r="C49" s="191"/>
      <c r="D49" s="153">
        <f>SUM(D14,D15,D24,D25,D28,D31,D32,D38)</f>
        <v>609.70000000000005</v>
      </c>
      <c r="E49" s="153">
        <f t="shared" ref="E49:K49" si="4">SUM(E14,E15,E24,E25,E28,E31,E32,E38)</f>
        <v>254.9</v>
      </c>
      <c r="F49" s="153">
        <f t="shared" si="4"/>
        <v>253.4</v>
      </c>
      <c r="G49" s="153">
        <f t="shared" si="4"/>
        <v>252.5</v>
      </c>
      <c r="H49" s="153">
        <f t="shared" si="4"/>
        <v>318.5</v>
      </c>
      <c r="I49" s="153">
        <f t="shared" si="4"/>
        <v>111</v>
      </c>
      <c r="J49" s="153">
        <f t="shared" si="4"/>
        <v>110.7</v>
      </c>
      <c r="K49" s="153">
        <f t="shared" si="4"/>
        <v>110.6</v>
      </c>
    </row>
    <row r="50" spans="2:11" ht="15.75" thickBot="1" x14ac:dyDescent="0.3">
      <c r="B50" s="190" t="s">
        <v>218</v>
      </c>
      <c r="C50" s="191"/>
      <c r="D50" s="154">
        <f>(D49/(1-0.989))*(1-0.992)</f>
        <v>443.41818181818189</v>
      </c>
      <c r="E50" s="154">
        <f t="shared" ref="E50:J50" si="5">(E49/(1-0.989))*(1-0.992)</f>
        <v>185.3818181818182</v>
      </c>
      <c r="F50" s="154">
        <f t="shared" si="5"/>
        <v>184.29090909090911</v>
      </c>
      <c r="G50" s="154">
        <f t="shared" si="5"/>
        <v>183.63636363636363</v>
      </c>
      <c r="H50" s="154">
        <f t="shared" si="5"/>
        <v>231.63636363636365</v>
      </c>
      <c r="I50" s="154">
        <f t="shared" si="5"/>
        <v>80.727272727272734</v>
      </c>
      <c r="J50" s="154">
        <f t="shared" si="5"/>
        <v>80.509090909090915</v>
      </c>
      <c r="K50" s="154">
        <f>(K49/(1-0.989))*(1-0.992)</f>
        <v>80.436363636363637</v>
      </c>
    </row>
    <row r="51" spans="2:11" ht="15.75" thickBot="1" x14ac:dyDescent="0.3">
      <c r="B51" s="190" t="s">
        <v>299</v>
      </c>
      <c r="C51" s="191"/>
      <c r="D51" s="153">
        <f>D50*0.6</f>
        <v>266.0509090909091</v>
      </c>
      <c r="E51" s="153">
        <f t="shared" ref="E51:K51" si="6">E50*0.6</f>
        <v>111.22909090909091</v>
      </c>
      <c r="F51" s="153">
        <f t="shared" si="6"/>
        <v>110.57454545454546</v>
      </c>
      <c r="G51" s="153">
        <f t="shared" si="6"/>
        <v>110.18181818181817</v>
      </c>
      <c r="H51" s="153">
        <f t="shared" si="6"/>
        <v>138.9818181818182</v>
      </c>
      <c r="I51" s="153">
        <f t="shared" si="6"/>
        <v>48.436363636363637</v>
      </c>
      <c r="J51" s="153">
        <f t="shared" si="6"/>
        <v>48.305454545454545</v>
      </c>
      <c r="K51" s="153">
        <f t="shared" si="6"/>
        <v>48.261818181818178</v>
      </c>
    </row>
    <row r="52" spans="2:11" ht="15.75" thickBot="1" x14ac:dyDescent="0.3">
      <c r="B52" s="190" t="s">
        <v>219</v>
      </c>
      <c r="C52" s="191"/>
      <c r="D52" s="154">
        <f>D50*0.4</f>
        <v>177.36727272727276</v>
      </c>
      <c r="E52" s="154">
        <f t="shared" ref="E52:K52" si="7">E50*0.4</f>
        <v>74.15272727272729</v>
      </c>
      <c r="F52" s="154">
        <f t="shared" si="7"/>
        <v>73.716363636363653</v>
      </c>
      <c r="G52" s="154">
        <f t="shared" si="7"/>
        <v>73.454545454545453</v>
      </c>
      <c r="H52" s="154">
        <f t="shared" si="7"/>
        <v>92.65454545454547</v>
      </c>
      <c r="I52" s="154">
        <f t="shared" si="7"/>
        <v>32.290909090909096</v>
      </c>
      <c r="J52" s="154">
        <f t="shared" si="7"/>
        <v>32.20363636363637</v>
      </c>
      <c r="K52" s="154">
        <f t="shared" si="7"/>
        <v>32.174545454545459</v>
      </c>
    </row>
    <row r="53" spans="2:11" ht="15.75" thickBot="1" x14ac:dyDescent="0.3">
      <c r="B53" s="203" t="s">
        <v>220</v>
      </c>
      <c r="C53" s="204"/>
      <c r="D53" s="155">
        <f>SUM(D47,D51)</f>
        <v>605.48509090909101</v>
      </c>
      <c r="E53" s="155">
        <f t="shared" ref="E53:K54" si="8">SUM(E47,E51)</f>
        <v>460.67781818181817</v>
      </c>
      <c r="F53" s="155">
        <f t="shared" si="8"/>
        <v>367.4967272727273</v>
      </c>
      <c r="G53" s="155">
        <f t="shared" si="8"/>
        <v>331.9549090909091</v>
      </c>
      <c r="H53" s="155">
        <f t="shared" si="8"/>
        <v>450.45381818181806</v>
      </c>
      <c r="I53" s="155">
        <f t="shared" si="8"/>
        <v>427.33963636363643</v>
      </c>
      <c r="J53" s="155">
        <f t="shared" si="8"/>
        <v>365.35418181818181</v>
      </c>
      <c r="K53" s="155">
        <f t="shared" si="8"/>
        <v>339.9796363636363</v>
      </c>
    </row>
    <row r="54" spans="2:11" ht="15.75" thickBot="1" x14ac:dyDescent="0.3">
      <c r="B54" s="203" t="s">
        <v>221</v>
      </c>
      <c r="C54" s="204"/>
      <c r="D54" s="155">
        <f>SUM(D48,D52)</f>
        <v>428.80000000000007</v>
      </c>
      <c r="E54" s="155">
        <f t="shared" si="8"/>
        <v>333.00363636363642</v>
      </c>
      <c r="F54" s="155">
        <f t="shared" si="8"/>
        <v>264.02909090909094</v>
      </c>
      <c r="G54" s="155">
        <f t="shared" si="8"/>
        <v>237.73090909090911</v>
      </c>
      <c r="H54" s="155">
        <f t="shared" si="8"/>
        <v>323.3745454545454</v>
      </c>
      <c r="I54" s="155">
        <f t="shared" si="8"/>
        <v>312.96000000000004</v>
      </c>
      <c r="J54" s="155">
        <f t="shared" si="8"/>
        <v>267.05454545454546</v>
      </c>
      <c r="K54" s="155">
        <f t="shared" si="8"/>
        <v>248.26181818181817</v>
      </c>
    </row>
    <row r="55" spans="2:11" ht="15.75" thickBot="1" x14ac:dyDescent="0.3">
      <c r="B55" s="203" t="s">
        <v>222</v>
      </c>
      <c r="C55" s="204"/>
      <c r="D55" s="155">
        <f>D53*0.023</f>
        <v>13.926157090909093</v>
      </c>
      <c r="E55" s="155">
        <f t="shared" ref="E55:G56" si="9">E53*0.023</f>
        <v>10.595589818181818</v>
      </c>
      <c r="F55" s="155">
        <f t="shared" si="9"/>
        <v>8.452424727272728</v>
      </c>
      <c r="G55" s="155">
        <f t="shared" si="9"/>
        <v>7.634962909090909</v>
      </c>
      <c r="H55" s="155">
        <f>H53*0.028</f>
        <v>12.612706909090907</v>
      </c>
      <c r="I55" s="155">
        <f t="shared" ref="I55:K56" si="10">I53*0.028</f>
        <v>11.96550981818182</v>
      </c>
      <c r="J55" s="155">
        <f t="shared" si="10"/>
        <v>10.22991709090909</v>
      </c>
      <c r="K55" s="155">
        <f t="shared" si="10"/>
        <v>9.5194298181818162</v>
      </c>
    </row>
    <row r="56" spans="2:11" ht="15.75" thickBot="1" x14ac:dyDescent="0.3">
      <c r="B56" s="203" t="s">
        <v>223</v>
      </c>
      <c r="C56" s="204"/>
      <c r="D56" s="155">
        <f>D54*0.023</f>
        <v>9.8624000000000009</v>
      </c>
      <c r="E56" s="155">
        <f t="shared" si="9"/>
        <v>7.6590836363636372</v>
      </c>
      <c r="F56" s="155">
        <f t="shared" si="9"/>
        <v>6.0726690909090912</v>
      </c>
      <c r="G56" s="155">
        <f t="shared" si="9"/>
        <v>5.4678109090909093</v>
      </c>
      <c r="H56" s="155">
        <f>H54*0.028</f>
        <v>9.0544872727272718</v>
      </c>
      <c r="I56" s="155">
        <f t="shared" si="10"/>
        <v>8.7628800000000009</v>
      </c>
      <c r="J56" s="155">
        <f t="shared" si="10"/>
        <v>7.477527272727273</v>
      </c>
      <c r="K56" s="155">
        <f t="shared" si="10"/>
        <v>6.9513309090909088</v>
      </c>
    </row>
    <row r="57" spans="2:11" ht="15.75" thickBot="1" x14ac:dyDescent="0.3">
      <c r="B57" s="203" t="s">
        <v>224</v>
      </c>
      <c r="C57" s="204"/>
      <c r="D57" s="156">
        <f>D55/11146</f>
        <v>1.2494309250770763E-3</v>
      </c>
      <c r="E57" s="156">
        <f t="shared" ref="E57:K57" si="11">E55/11146</f>
        <v>9.5061814266838489E-4</v>
      </c>
      <c r="F57" s="156">
        <f t="shared" si="11"/>
        <v>7.5833704712656804E-4</v>
      </c>
      <c r="G57" s="156">
        <f t="shared" si="11"/>
        <v>6.8499577508441677E-4</v>
      </c>
      <c r="H57" s="156">
        <f t="shared" si="11"/>
        <v>1.1315904278746552E-3</v>
      </c>
      <c r="I57" s="156">
        <f t="shared" si="11"/>
        <v>1.0735250150889844E-3</v>
      </c>
      <c r="J57" s="156">
        <f t="shared" si="11"/>
        <v>9.178106128574458E-4</v>
      </c>
      <c r="K57" s="156">
        <f t="shared" si="11"/>
        <v>8.5406691352788594E-4</v>
      </c>
    </row>
    <row r="58" spans="2:11" ht="15.75" thickBot="1" x14ac:dyDescent="0.3">
      <c r="B58" s="203" t="s">
        <v>225</v>
      </c>
      <c r="C58" s="204"/>
      <c r="D58" s="156">
        <f>D56/7431</f>
        <v>1.3271968779437493E-3</v>
      </c>
      <c r="E58" s="156">
        <f t="shared" ref="E58:K58" si="12">E56/7431</f>
        <v>1.0306935320096404E-3</v>
      </c>
      <c r="F58" s="156">
        <f t="shared" si="12"/>
        <v>8.1720752131733167E-4</v>
      </c>
      <c r="G58" s="156">
        <f t="shared" si="12"/>
        <v>7.3581091496311519E-4</v>
      </c>
      <c r="H58" s="156">
        <f t="shared" si="12"/>
        <v>1.2184749391370303E-3</v>
      </c>
      <c r="I58" s="156">
        <f t="shared" si="12"/>
        <v>1.1792329430763021E-3</v>
      </c>
      <c r="J58" s="156">
        <f t="shared" si="12"/>
        <v>1.0062612397695159E-3</v>
      </c>
      <c r="K58" s="156">
        <f t="shared" si="12"/>
        <v>9.3545026363758702E-4</v>
      </c>
    </row>
    <row r="59" spans="2:11" x14ac:dyDescent="0.25">
      <c r="D59" s="157"/>
    </row>
    <row r="60" spans="2:11" x14ac:dyDescent="0.25">
      <c r="D60" s="158"/>
    </row>
  </sheetData>
  <mergeCells count="20">
    <mergeCell ref="B57:C57"/>
    <mergeCell ref="B58:C58"/>
    <mergeCell ref="B52:C52"/>
    <mergeCell ref="B53:C53"/>
    <mergeCell ref="B54:C54"/>
    <mergeCell ref="B55:C55"/>
    <mergeCell ref="B56:C56"/>
    <mergeCell ref="H2:K2"/>
    <mergeCell ref="G3:G4"/>
    <mergeCell ref="K3:K4"/>
    <mergeCell ref="B45:C45"/>
    <mergeCell ref="B46:C46"/>
    <mergeCell ref="B51:C51"/>
    <mergeCell ref="B2:B4"/>
    <mergeCell ref="C2:C4"/>
    <mergeCell ref="D2:G2"/>
    <mergeCell ref="B47:C47"/>
    <mergeCell ref="B50:C50"/>
    <mergeCell ref="B48:C48"/>
    <mergeCell ref="B49:C4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Kittiwake PVA inputs</vt:lpstr>
      <vt:lpstr>Puffin PVA inputs</vt:lpstr>
      <vt:lpstr>SeabORD outputs</vt:lpstr>
      <vt:lpstr>CRM -Pentland, Moray Firth &amp; BB</vt:lpstr>
      <vt:lpstr>CRM -North Sea Compilation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William Peden</dc:creator>
  <cp:lastModifiedBy>William Peden</cp:lastModifiedBy>
  <dcterms:created xsi:type="dcterms:W3CDTF">2023-10-02T14:10:35Z</dcterms:created>
  <dcterms:modified xsi:type="dcterms:W3CDTF">2023-10-05T16:02:31Z</dcterms:modified>
</cp:coreProperties>
</file>